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EG" sheetId="1" state="visible" r:id="rId2"/>
    <sheet name="ULIN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<sst xmlns="http://schemas.openxmlformats.org/spreadsheetml/2006/main" count="27936" uniqueCount="8360">
  <si>
    <t xml:space="preserve">CARRERA O PROGRAMA</t>
  </si>
  <si>
    <t xml:space="preserve">CONTACTO</t>
  </si>
  <si>
    <t xml:space="preserve">UNIDAD
ACADEMICA</t>
  </si>
  <si>
    <t xml:space="preserve">MODALIDAD</t>
  </si>
  <si>
    <t xml:space="preserve">NOMBRE</t>
  </si>
  <si>
    <t xml:space="preserve">NUMERO</t>
  </si>
  <si>
    <t xml:space="preserve">CORREO</t>
  </si>
  <si>
    <t xml:space="preserve">CIUDAD</t>
  </si>
  <si>
    <t xml:space="preserve">PAIS</t>
  </si>
  <si>
    <t xml:space="preserve">OBSERVACIÓN</t>
  </si>
  <si>
    <t xml:space="preserve">OBSERVACIÓN 2</t>
  </si>
  <si>
    <t xml:space="preserve">OBSERVACIÓN 3</t>
  </si>
  <si>
    <t xml:space="preserve">OBSERVACIÓN 4</t>
  </si>
  <si>
    <t xml:space="preserve">Resultado</t>
  </si>
  <si>
    <t xml:space="preserve">administración_de_empresas</t>
  </si>
  <si>
    <t xml:space="preserve">whatsapp</t>
  </si>
  <si>
    <t xml:space="preserve">posgrado</t>
  </si>
  <si>
    <t xml:space="preserve">semipresencial</t>
  </si>
  <si>
    <t xml:space="preserve">Amar Con Plenitud</t>
  </si>
  <si>
    <t xml:space="preserve">rpinargote2017@gmail.com</t>
  </si>
  <si>
    <t xml:space="preserve">Contacto no estaba en sitio</t>
  </si>
  <si>
    <t xml:space="preserve">No contesta</t>
  </si>
  <si>
    <t xml:space="preserve">Evelin Pamela</t>
  </si>
  <si>
    <t xml:space="preserve">craneaec@gmail.com</t>
  </si>
  <si>
    <t xml:space="preserve">Quito</t>
  </si>
  <si>
    <t xml:space="preserve">Ya no se encuentra interesada en estudiar la maestría</t>
  </si>
  <si>
    <t xml:space="preserve">llamada</t>
  </si>
  <si>
    <t xml:space="preserve">Jessica Correa</t>
  </si>
  <si>
    <t xml:space="preserve">damian_tito25@hotmail.com</t>
  </si>
  <si>
    <t xml:space="preserve">se envia informacionn al correo y se agenda nueva llamada</t>
  </si>
  <si>
    <t xml:space="preserve">En el momento no estaba interesada en la maestría por que no le da por el trabajo  </t>
  </si>
  <si>
    <t xml:space="preserve">descartado</t>
  </si>
  <si>
    <t xml:space="preserve">Francisco Nazario Marcillo</t>
  </si>
  <si>
    <t xml:space="preserve">craneaec@yandex.com</t>
  </si>
  <si>
    <t xml:space="preserve">volver a llamar, se encontraba ocupado</t>
  </si>
  <si>
    <t xml:space="preserve">No estaba, se agenda nueva llamada</t>
  </si>
  <si>
    <t xml:space="preserve">Se envía correo con información  </t>
  </si>
  <si>
    <t xml:space="preserve">Volver a llamar</t>
  </si>
  <si>
    <t xml:space="preserve">Carlos Marquez</t>
  </si>
  <si>
    <t xml:space="preserve">webmastermkt@uteg.edu.ec</t>
  </si>
  <si>
    <t xml:space="preserve">Solicito Informacion A Su Correo Electronico,se agenda nueva llamada</t>
  </si>
  <si>
    <t xml:space="preserve">Se envía nuevamente gmail</t>
  </si>
  <si>
    <t xml:space="preserve">economia</t>
  </si>
  <si>
    <t xml:space="preserve">grado</t>
  </si>
  <si>
    <t xml:space="preserve">online</t>
  </si>
  <si>
    <t xml:space="preserve">Adriana Lorena</t>
  </si>
  <si>
    <t xml:space="preserve">dcadena@cranea.com.ec</t>
  </si>
  <si>
    <t xml:space="preserve">Ambato</t>
  </si>
  <si>
    <t xml:space="preserve">licenciatura_en_administracion_de_empresas</t>
  </si>
  <si>
    <t xml:space="preserve">Fabriss Chicaiza</t>
  </si>
  <si>
    <t xml:space="preserve">thissfabris@gmail.com</t>
  </si>
  <si>
    <t xml:space="preserve">Se le brinda informacion, se envia correo y se agenda nueva llamada</t>
  </si>
  <si>
    <t xml:space="preserve">estaba en el banco, se agenda nueva llamada</t>
  </si>
  <si>
    <t xml:space="preserve">en el momento no le queda fácil empezar la maestría</t>
  </si>
  <si>
    <t xml:space="preserve">Flor Ordoñez Jima</t>
  </si>
  <si>
    <t xml:space="preserve">flaquit-199160@hotmail.com</t>
  </si>
  <si>
    <t xml:space="preserve">Esmeraldas</t>
  </si>
  <si>
    <t xml:space="preserve">se agenda nueva llamada y se brinda informacion</t>
  </si>
  <si>
    <t xml:space="preserve">no contesta</t>
  </si>
  <si>
    <t xml:space="preserve">Magda Oleas</t>
  </si>
  <si>
    <t xml:space="preserve">macaove24@hotmail.com</t>
  </si>
  <si>
    <t xml:space="preserve">Guaranda</t>
  </si>
  <si>
    <t xml:space="preserve">Se brinda informacion y se agenda nueva llamada</t>
  </si>
  <si>
    <t xml:space="preserve">Estefany Estacio</t>
  </si>
  <si>
    <t xml:space="preserve">claramatyleo88@hotmail.com</t>
  </si>
  <si>
    <t xml:space="preserve">No interesada</t>
  </si>
  <si>
    <t xml:space="preserve">Shirley Sarco Sánchez</t>
  </si>
  <si>
    <t xml:space="preserve">isass_90@outlook.com</t>
  </si>
  <si>
    <t xml:space="preserve">Guayaquil</t>
  </si>
  <si>
    <t xml:space="preserve">No Recuerda Haberse Registrado (no Esta Interesada)</t>
  </si>
  <si>
    <t xml:space="preserve">Mery Pincay Gonzalez</t>
  </si>
  <si>
    <t xml:space="preserve">ma.mercedes_pincayg@hotmail.com</t>
  </si>
  <si>
    <t xml:space="preserve">Se brinda información de programa y se agenda nueva llamada</t>
  </si>
  <si>
    <t xml:space="preserve">Esta en otra universidad </t>
  </si>
  <si>
    <t xml:space="preserve">Andres Chagerben Hinostroza</t>
  </si>
  <si>
    <t xml:space="preserve">andres_chagerben@yahoo.com</t>
  </si>
  <si>
    <t xml:space="preserve">Volver A Llamar En Enero 2019 Interesado En Maestrias Online</t>
  </si>
  <si>
    <t xml:space="preserve">Dallana Romero</t>
  </si>
  <si>
    <t xml:space="preserve">dallalinda1992@gmail.com</t>
  </si>
  <si>
    <t xml:space="preserve">Otavalo</t>
  </si>
  <si>
    <t xml:space="preserve">Interesada En Licenciaturas En Area De La Salud</t>
  </si>
  <si>
    <t xml:space="preserve">licenciatura_en_turismo</t>
  </si>
  <si>
    <t xml:space="preserve">Ricardo Morales</t>
  </si>
  <si>
    <t xml:space="preserve">ricardito198314@hotmail.com</t>
  </si>
  <si>
    <t xml:space="preserve">Cotacachi</t>
  </si>
  <si>
    <t xml:space="preserve">No se encuentra interesado</t>
  </si>
  <si>
    <t xml:space="preserve">talento_humano</t>
  </si>
  <si>
    <t xml:space="preserve">Natty Vega Cuenca</t>
  </si>
  <si>
    <t xml:space="preserve">navega-c@hotmail.com</t>
  </si>
  <si>
    <t xml:space="preserve">Volver A Llamar Se Encontraba En Una Reunion</t>
  </si>
  <si>
    <t xml:space="preserve">Se encontraba en reunión, se agenda nueva llamada</t>
  </si>
  <si>
    <t xml:space="preserve">Aida Guambaña Cardenas</t>
  </si>
  <si>
    <t xml:space="preserve">aidayoconda@hotmail.com</t>
  </si>
  <si>
    <t xml:space="preserve">Patricio Tiñe</t>
  </si>
  <si>
    <t xml:space="preserve">patriciotie32@gmail.com</t>
  </si>
  <si>
    <t xml:space="preserve">Se brinda información y se agenda nueva llamada</t>
  </si>
  <si>
    <t xml:space="preserve">Estaba viajando, se agenda nueva llamada</t>
  </si>
  <si>
    <t xml:space="preserve">Maribel Reyes</t>
  </si>
  <si>
    <t xml:space="preserve">lebiram1976@hotmail.com</t>
  </si>
  <si>
    <t xml:space="preserve">Se brinda toda la informacion, se agenda nueva llamada </t>
  </si>
  <si>
    <t xml:space="preserve">Rafael Quintana</t>
  </si>
  <si>
    <t xml:space="preserve">lrqp80@hotmail.com</t>
  </si>
  <si>
    <t xml:space="preserve">se le brinda información y se envía correo, se agenda nueva llamada</t>
  </si>
  <si>
    <t xml:space="preserve">Fernanda Nuñez Solorzano</t>
  </si>
  <si>
    <t xml:space="preserve">gilpher_23@hotmail.es</t>
  </si>
  <si>
    <t xml:space="preserve">Francisco Roberto Paye Prado</t>
  </si>
  <si>
    <t xml:space="preserve">robertyami@gmail.com</t>
  </si>
  <si>
    <t xml:space="preserve">estaba ocupado, se agenda nueva llamada </t>
  </si>
  <si>
    <t xml:space="preserve">investigación</t>
  </si>
  <si>
    <t xml:space="preserve">presencial</t>
  </si>
  <si>
    <t xml:space="preserve">Rodolfo Rodriguez</t>
  </si>
  <si>
    <t xml:space="preserve">Rodrimedsa@hotmail.com</t>
  </si>
  <si>
    <t xml:space="preserve">Se encuentra ocupado se agenda nueva llamada para dar informacion</t>
  </si>
  <si>
    <t xml:space="preserve">Paola Alcivar</t>
  </si>
  <si>
    <t xml:space="preserve">paoalcivar13@gmail.com</t>
  </si>
  <si>
    <t xml:space="preserve">Giuseppe Moscoso</t>
  </si>
  <si>
    <t xml:space="preserve">giusep_oswald89@hotmail.com</t>
  </si>
  <si>
    <t xml:space="preserve">Santa Elena</t>
  </si>
  <si>
    <t xml:space="preserve">Kath Tigesitaa Muah</t>
  </si>
  <si>
    <t xml:space="preserve">ktrncldrn@gmail.com</t>
  </si>
  <si>
    <t xml:space="preserve">Jannela Balcázar</t>
  </si>
  <si>
    <t xml:space="preserve">bravojane19@gmail.com</t>
  </si>
  <si>
    <t xml:space="preserve">Stalyn Loor</t>
  </si>
  <si>
    <t xml:space="preserve">Winnerstalin98@gmail.com</t>
  </si>
  <si>
    <t xml:space="preserve">Interesado para unos amigos, se le brinda toda la información y se le agenda llamada para seguir en seguimiento</t>
  </si>
  <si>
    <t xml:space="preserve">Aún están en espera de la decisión, se agenda nueva llamada para el dia viernes 21 de diciembre</t>
  </si>
  <si>
    <t xml:space="preserve">interesado</t>
  </si>
  <si>
    <t xml:space="preserve">licenciatura_en_comercio_exterior</t>
  </si>
  <si>
    <t xml:space="preserve">Tatiana Cagua Angelica</t>
  </si>
  <si>
    <t xml:space="preserve">negritawiwisha@hotmail.com</t>
  </si>
  <si>
    <t xml:space="preserve">Atacames</t>
  </si>
  <si>
    <t xml:space="preserve">Se brinda información  y se agenda nueva llamada</t>
  </si>
  <si>
    <t xml:space="preserve">Se brinda nuevamente información y se agenda nueva llamada</t>
  </si>
  <si>
    <t xml:space="preserve">volver a llamar</t>
  </si>
  <si>
    <t xml:space="preserve">Andrés Moreno</t>
  </si>
  <si>
    <t xml:space="preserve">c_andres4727@hotmail.com</t>
  </si>
  <si>
    <t xml:space="preserve">Se Brinda InformaciÓn Y Se EnvÍa Correo, Se Agenda Nueva Llamada</t>
  </si>
  <si>
    <t xml:space="preserve">Se asesora nuevamente, se realiza preinscripcion y queda pendiente de enviar requisitos el dia viernes 21 de diciembre</t>
  </si>
  <si>
    <t xml:space="preserve">Marcelo Orozco</t>
  </si>
  <si>
    <t xml:space="preserve">marceloorozco667@gmail.com</t>
  </si>
  <si>
    <t xml:space="preserve">No interesado en la maestría</t>
  </si>
  <si>
    <t xml:space="preserve">Fernando Loor Pico</t>
  </si>
  <si>
    <t xml:space="preserve">ing.fernandoloorpico01@gmail.com</t>
  </si>
  <si>
    <t xml:space="preserve">Katiusk Gamboa</t>
  </si>
  <si>
    <t xml:space="preserve">denisgamb@hotmail.com</t>
  </si>
  <si>
    <t xml:space="preserve">estaba viajando, se agenda nueva llamada</t>
  </si>
  <si>
    <t xml:space="preserve">Karla Rodriguez</t>
  </si>
  <si>
    <t xml:space="preserve">karla_rodriguez1991@hotmail.com</t>
  </si>
  <si>
    <t xml:space="preserve">Se agenda nueva llamada, estaba conduciendo </t>
  </si>
  <si>
    <t xml:space="preserve">Luiggy Aviles Rosado</t>
  </si>
  <si>
    <t xml:space="preserve">luiggy17990@hotmail.com</t>
  </si>
  <si>
    <t xml:space="preserve">Pianchiche Clara</t>
  </si>
  <si>
    <t xml:space="preserve">claraepianchiche87@yahoo.es</t>
  </si>
  <si>
    <t xml:space="preserve">se le envio informacion al correo electrónico, estaba en el trabajo</t>
  </si>
  <si>
    <t xml:space="preserve">Andrés Pasquel</t>
  </si>
  <si>
    <t xml:space="preserve">marlon.pasquel@gmail.com</t>
  </si>
  <si>
    <t xml:space="preserve">Se Brinda AsesorÍa Al Whatsapp</t>
  </si>
  <si>
    <t xml:space="preserve">Se agenda nueva llamada, estaba en reunión </t>
  </si>
  <si>
    <t xml:space="preserve">Angel Guzman</t>
  </si>
  <si>
    <t xml:space="preserve">angel591guzman@gmail.com</t>
  </si>
  <si>
    <t xml:space="preserve">Se le brinda toda la asesoría, se agenda nueva llamada</t>
  </si>
  <si>
    <t xml:space="preserve">empresas_familiares</t>
  </si>
  <si>
    <t xml:space="preserve">Andre Pineda Salinas</t>
  </si>
  <si>
    <t xml:space="preserve">andreitas21@hotmail.com</t>
  </si>
  <si>
    <t xml:space="preserve">Se encontraba en el trabajo, se agenda nueva llamada</t>
  </si>
  <si>
    <t xml:space="preserve">No interesada </t>
  </si>
  <si>
    <t xml:space="preserve">finanzas</t>
  </si>
  <si>
    <t xml:space="preserve">Kenny De La Cruz</t>
  </si>
  <si>
    <t xml:space="preserve">kenny_delac@hotmail.com</t>
  </si>
  <si>
    <t xml:space="preserve">Estaba en cita médica, se agenda nueva llamada</t>
  </si>
  <si>
    <t xml:space="preserve">Se envía información al correo y se agenda nueva llamada</t>
  </si>
  <si>
    <t xml:space="preserve">Maria Estupiñan</t>
  </si>
  <si>
    <t xml:space="preserve">dannydariorodriguezzambrano@gmail.com</t>
  </si>
  <si>
    <t xml:space="preserve">Se envia correo con información</t>
  </si>
  <si>
    <t xml:space="preserve">En el momento no se encuentra interesada </t>
  </si>
  <si>
    <t xml:space="preserve">Edar Muñoz</t>
  </si>
  <si>
    <t xml:space="preserve">t_388@hotmail. com</t>
  </si>
  <si>
    <t xml:space="preserve">en reunión , se agenda nueva llamada</t>
  </si>
  <si>
    <t xml:space="preserve">licenciatura_en_mercadotecnia</t>
  </si>
  <si>
    <t xml:space="preserve">Alejandro Alomoto</t>
  </si>
  <si>
    <t xml:space="preserve">kiwi.alejo@yahoo.es</t>
  </si>
  <si>
    <t xml:space="preserve">Latacunga</t>
  </si>
  <si>
    <t xml:space="preserve">se le brinda asesoría, envía gmail y se agenda nueva llamada</t>
  </si>
  <si>
    <t xml:space="preserve">Valeria Ochoa</t>
  </si>
  <si>
    <t xml:space="preserve">valeochoa_89@hotmail.com</t>
  </si>
  <si>
    <t xml:space="preserve">Se le envia informacion al correo electrónico</t>
  </si>
  <si>
    <t xml:space="preserve">Diana Guerra</t>
  </si>
  <si>
    <t xml:space="preserve">querubines_eps@yahoo.com</t>
  </si>
  <si>
    <t xml:space="preserve">Vilma Vasquez</t>
  </si>
  <si>
    <t xml:space="preserve">vvasquez_aguirre@hotmail.com</t>
  </si>
  <si>
    <t xml:space="preserve">Liz Peque</t>
  </si>
  <si>
    <t xml:space="preserve">lizsethelema@hotmail.com</t>
  </si>
  <si>
    <t xml:space="preserve">número equivocado</t>
  </si>
  <si>
    <t xml:space="preserve">Adela Barrera</t>
  </si>
  <si>
    <t xml:space="preserve">barcelona198294@hotmail.com</t>
  </si>
  <si>
    <t xml:space="preserve">Se agenda nueva llamada, estaba en el trabajo</t>
  </si>
  <si>
    <t xml:space="preserve">Se envía información al correo, estaba en el trabajo</t>
  </si>
  <si>
    <t xml:space="preserve">Se comunicará en el momento que se encuentre interesada</t>
  </si>
  <si>
    <t xml:space="preserve">se comunicara cuando tomé la decisión  </t>
  </si>
  <si>
    <t xml:space="preserve">Magali Mercedes Oramas Pita</t>
  </si>
  <si>
    <t xml:space="preserve">magi_zamaro@hotmail.com</t>
  </si>
  <si>
    <t xml:space="preserve">Playas</t>
  </si>
  <si>
    <t xml:space="preserve">Gabucha Velez</t>
  </si>
  <si>
    <t xml:space="preserve">silva_5_1989@hotmail.com</t>
  </si>
  <si>
    <t xml:space="preserve">Portoviejo</t>
  </si>
  <si>
    <t xml:space="preserve">Daniela Montenegro</t>
  </si>
  <si>
    <t xml:space="preserve">yestefans@hotmail.com</t>
  </si>
  <si>
    <t xml:space="preserve">la Bonita</t>
  </si>
  <si>
    <t xml:space="preserve">Se encuentra interesada para ella y un grupo de amigas, se comunicará en caso de tener respuesta</t>
  </si>
  <si>
    <t xml:space="preserve">Rosy Chavez Lopez</t>
  </si>
  <si>
    <t xml:space="preserve">rosychavez.1971@hotmail.com</t>
  </si>
  <si>
    <t xml:space="preserve">Manta</t>
  </si>
  <si>
    <t xml:space="preserve">se encontraba en el hospital, se agenda nueva llamada </t>
  </si>
  <si>
    <t xml:space="preserve">Indica que el valor le queda muy alto  para tomar la maestría </t>
  </si>
  <si>
    <t xml:space="preserve">Jose Luis Echeverria Bucheli</t>
  </si>
  <si>
    <t xml:space="preserve">jlecheverria71@hotmail.com</t>
  </si>
  <si>
    <t xml:space="preserve">Ibarra</t>
  </si>
  <si>
    <t xml:space="preserve">Jhonny Martinez</t>
  </si>
  <si>
    <t xml:space="preserve">jmartinez.1990@hotmail.com</t>
  </si>
  <si>
    <t xml:space="preserve">Se encontraba ocupado, se agenda nueva llamada</t>
  </si>
  <si>
    <t xml:space="preserve">Indica que se va acercar directamente a la universidad el 26 de diciembre</t>
  </si>
  <si>
    <t xml:space="preserve">Emilio Huatatoca Yumbo</t>
  </si>
  <si>
    <t xml:space="preserve">reinaldoshiguango@yahoo.com</t>
  </si>
  <si>
    <t xml:space="preserve">tena</t>
  </si>
  <si>
    <t xml:space="preserve">Se encuentra interesado para el trimestre</t>
  </si>
  <si>
    <t xml:space="preserve">Interesado</t>
  </si>
  <si>
    <t xml:space="preserve">Carlos Guillen Bernal</t>
  </si>
  <si>
    <t xml:space="preserve">carlos_guillenbernal@hotmail.com</t>
  </si>
  <si>
    <t xml:space="preserve">No interesado</t>
  </si>
  <si>
    <t xml:space="preserve">Miguel Escobar</t>
  </si>
  <si>
    <t xml:space="preserve">esperty@hotmail.con</t>
  </si>
  <si>
    <t xml:space="preserve">Fabian Miranda</t>
  </si>
  <si>
    <t xml:space="preserve">josfmc@yahoo.es</t>
  </si>
  <si>
    <t xml:space="preserve">Se envía información al correo, para mirar horarios, se agenda nueva llamada</t>
  </si>
  <si>
    <t xml:space="preserve">Karely Jaramillo</t>
  </si>
  <si>
    <t xml:space="preserve">kareli23_1990@hotmail.com</t>
  </si>
  <si>
    <t xml:space="preserve">Pedro Pablo</t>
  </si>
  <si>
    <t xml:space="preserve">pedropablosarango@hotmail.es</t>
  </si>
  <si>
    <t xml:space="preserve">No se encontraba en el lugar, se agenda nueva llamada</t>
  </si>
  <si>
    <t xml:space="preserve">No estaba en el lugar, se agenda nueva llamada</t>
  </si>
  <si>
    <t xml:space="preserve">Estefi Cordero</t>
  </si>
  <si>
    <t xml:space="preserve">ecorderp@yahoo.com</t>
  </si>
  <si>
    <t xml:space="preserve">sin numero de contacto, se envía información sobre la maestría requerida al correo</t>
  </si>
  <si>
    <t xml:space="preserve">Fabián Tamayo</t>
  </si>
  <si>
    <t xml:space="preserve">fabiandeathgore@hotmail.com</t>
  </si>
  <si>
    <t xml:space="preserve">.....</t>
  </si>
  <si>
    <t xml:space="preserve">Marlon Anibal Loor Marcillo</t>
  </si>
  <si>
    <t xml:space="preserve">marlonloormarcillo@gmail.com</t>
  </si>
  <si>
    <t xml:space="preserve">Fernando Pozo</t>
  </si>
  <si>
    <t xml:space="preserve">ferchopozo88@gmail.com</t>
  </si>
  <si>
    <t xml:space="preserve">Tulcan</t>
  </si>
  <si>
    <t xml:space="preserve">estaba en el trabajo, se agenda nueva llamada</t>
  </si>
  <si>
    <t xml:space="preserve">Vladimir Cada Rivera</t>
  </si>
  <si>
    <t xml:space="preserve">vladca_90@hotmail.com</t>
  </si>
  <si>
    <t xml:space="preserve">Pasaje</t>
  </si>
  <si>
    <t xml:space="preserve">se brinda información y se agenda  nueva llamada</t>
  </si>
  <si>
    <t xml:space="preserve">Se agenda nueva llamada estaba en el trabajo </t>
  </si>
  <si>
    <t xml:space="preserve">Silvia Vazquez Crespo</t>
  </si>
  <si>
    <t xml:space="preserve">silviacvazquez2009@hotmail.com</t>
  </si>
  <si>
    <t xml:space="preserve">Se brinda información de maestras, indica estar interesada en maestrías Online</t>
  </si>
  <si>
    <t xml:space="preserve">Se asesora, se envía información al correo </t>
  </si>
  <si>
    <t xml:space="preserve">Victor Villarroel</t>
  </si>
  <si>
    <t xml:space="preserve">soyapro@hotmail.com</t>
  </si>
  <si>
    <t xml:space="preserve">Número equivocado</t>
  </si>
  <si>
    <t xml:space="preserve">Martin Romero Abril</t>
  </si>
  <si>
    <t xml:space="preserve">mfromeroczs5@gmail.com</t>
  </si>
  <si>
    <t xml:space="preserve">Daniela Estefanía Montenegro Aza</t>
  </si>
  <si>
    <t xml:space="preserve">Euler Galarza</t>
  </si>
  <si>
    <t xml:space="preserve">galarzaeuler@yahoo.es</t>
  </si>
  <si>
    <t xml:space="preserve">Lasso</t>
  </si>
  <si>
    <t xml:space="preserve">Ericka Nataly</t>
  </si>
  <si>
    <t xml:space="preserve">naty_doce.kom@hotmail.com</t>
  </si>
  <si>
    <t xml:space="preserve">Sangolquí</t>
  </si>
  <si>
    <t xml:space="preserve">Pide información al correo, se agenda nueva llamada</t>
  </si>
  <si>
    <t xml:space="preserve">Se envía correo con información y se agenda nueva llamada  </t>
  </si>
  <si>
    <t xml:space="preserve">Luis Alfredo Tuqueres</t>
  </si>
  <si>
    <t xml:space="preserve">ltuqueres@safi.com.ec</t>
  </si>
  <si>
    <t xml:space="preserve">se le brinda asesoría y se envía correo electrónico con información</t>
  </si>
  <si>
    <t xml:space="preserve">Fernando Patricio Jara Tobar</t>
  </si>
  <si>
    <t xml:space="preserve">fjara.vm@gmail.com</t>
  </si>
  <si>
    <t xml:space="preserve">Juanito Castro C</t>
  </si>
  <si>
    <t xml:space="preserve">jcastro263@hotmail.es</t>
  </si>
  <si>
    <t xml:space="preserve">Se brinda información, se agenda nueva llamada</t>
  </si>
  <si>
    <t xml:space="preserve">Betsabel Caicedo</t>
  </si>
  <si>
    <t xml:space="preserve">betsy_92@outlook.com</t>
  </si>
  <si>
    <t xml:space="preserve">interesada para iniciar en el trimestre</t>
  </si>
  <si>
    <t xml:space="preserve">sistema_de_información_gerencial</t>
  </si>
  <si>
    <t xml:space="preserve">Janeth Villamar</t>
  </si>
  <si>
    <t xml:space="preserve">manabita-manta@hotmail.com</t>
  </si>
  <si>
    <t xml:space="preserve">Carmita Rocio Riofrio</t>
  </si>
  <si>
    <t xml:space="preserve">carmitarp@gmail.com</t>
  </si>
  <si>
    <t xml:space="preserve">Se brinda información sobre maestrías, se muestra interesada pero no responde mas, se agenda nueva llamada </t>
  </si>
  <si>
    <t xml:space="preserve">Patricio Calle</t>
  </si>
  <si>
    <t xml:space="preserve">patricall90@hotmail.com</t>
  </si>
  <si>
    <t xml:space="preserve">Numero errado</t>
  </si>
  <si>
    <t xml:space="preserve">Vanessa García</t>
  </si>
  <si>
    <t xml:space="preserve">vanessaloida@gmail.com</t>
  </si>
  <si>
    <t xml:space="preserve">estaba en hora laboral, se envía información por correo y se agenda nueva llamada</t>
  </si>
  <si>
    <t xml:space="preserve">Tere Ciela Garcia Sanchez</t>
  </si>
  <si>
    <t xml:space="preserve">teregarciasanchez@hotmail.es</t>
  </si>
  <si>
    <t xml:space="preserve">Se Brinda AsesorÍa Sobre Las Maestrias, Se Agenda Nueva Llamada</t>
  </si>
  <si>
    <t xml:space="preserve">turismo</t>
  </si>
  <si>
    <t xml:space="preserve">Leana Nunes</t>
  </si>
  <si>
    <t xml:space="preserve">leananunes83@gmail.com</t>
  </si>
  <si>
    <t xml:space="preserve">santa elena</t>
  </si>
  <si>
    <t xml:space="preserve">En el momento no se encuentra interesada ahun </t>
  </si>
  <si>
    <t xml:space="preserve">Xavier Caceres</t>
  </si>
  <si>
    <t xml:space="preserve">luisvallejos30@hotmail.com</t>
  </si>
  <si>
    <t xml:space="preserve">número errado</t>
  </si>
  <si>
    <t xml:space="preserve">Amanda Yunda</t>
  </si>
  <si>
    <t xml:space="preserve">sil64yunda@hotmail.com</t>
  </si>
  <si>
    <t xml:space="preserve">Se brinda información y se envía  al correo</t>
  </si>
  <si>
    <t xml:space="preserve">Augusto Jose Calero Mendoza</t>
  </si>
  <si>
    <t xml:space="preserve">augustocalero1@hotmail.com</t>
  </si>
  <si>
    <t xml:space="preserve">INDICA QUE ESTABA OCUPADO, SE AGENDA NUEVA LLAMADA</t>
  </si>
  <si>
    <t xml:space="preserve">Indica que se le envíe correo electrónico con información, se agenda nueva llamada</t>
  </si>
  <si>
    <t xml:space="preserve">Se envía información al correo </t>
  </si>
  <si>
    <t xml:space="preserve">Bolivar Harry Neira Sellan</t>
  </si>
  <si>
    <t xml:space="preserve">bohanei@hotmail.com</t>
  </si>
  <si>
    <t xml:space="preserve">Johanna Rengifo</t>
  </si>
  <si>
    <t xml:space="preserve">joha2112_rm@hotmail.com</t>
  </si>
  <si>
    <t xml:space="preserve">se le brinda información y se le envia al correo</t>
  </si>
  <si>
    <t xml:space="preserve">No ha revisado correo, se agenda nueva llamada</t>
  </si>
  <si>
    <t xml:space="preserve">ingenieria_en_logística_y_transporte</t>
  </si>
  <si>
    <t xml:space="preserve">Ricardo Andres Santillan</t>
  </si>
  <si>
    <t xml:space="preserve">ricardo_9423@hotmail.com</t>
  </si>
  <si>
    <t xml:space="preserve">se brinda información y se envia correo, se agenda nueva llamada</t>
  </si>
  <si>
    <t xml:space="preserve">No contesta </t>
  </si>
  <si>
    <t xml:space="preserve">Paolita Zambrano Bravo</t>
  </si>
  <si>
    <t xml:space="preserve">cynthiazambra87@hotmail.com</t>
  </si>
  <si>
    <t xml:space="preserve">El Carmen</t>
  </si>
  <si>
    <t xml:space="preserve">Doris Espinosa</t>
  </si>
  <si>
    <t xml:space="preserve">deev24@yahoo.com</t>
  </si>
  <si>
    <t xml:space="preserve">Se brinda toda la asesoría, queda en que se comunicará en el momento de tener respuesta por que aun esta buscando universidades</t>
  </si>
  <si>
    <t xml:space="preserve">Carlos Lindao</t>
  </si>
  <si>
    <t xml:space="preserve">Karloz_lindaorock@hotmail.com</t>
  </si>
  <si>
    <t xml:space="preserve">Se agenda nueva llamada, estaba ocupado</t>
  </si>
  <si>
    <t xml:space="preserve">Gustavo Sotalin Orozco</t>
  </si>
  <si>
    <t xml:space="preserve">guccildu8@gmail.com</t>
  </si>
  <si>
    <t xml:space="preserve">Se envia nuevamente información al correo electronico y se agenda nueva llamada</t>
  </si>
  <si>
    <t xml:space="preserve">Jaime Gallegos Hinojosa</t>
  </si>
  <si>
    <t xml:space="preserve">numero errado</t>
  </si>
  <si>
    <t xml:space="preserve">Jenileth Vasquez</t>
  </si>
  <si>
    <t xml:space="preserve">ajenelith_15_99@live.com</t>
  </si>
  <si>
    <t xml:space="preserve">se brinda información y se agenda nueva llamada</t>
  </si>
  <si>
    <t xml:space="preserve">Estaba en el trabajo, se agenda nueva llamada</t>
  </si>
  <si>
    <t xml:space="preserve">Mayi Bravo</t>
  </si>
  <si>
    <t xml:space="preserve">mayi_bravo_a@hotmail.com</t>
  </si>
  <si>
    <t xml:space="preserve">Se brinda información de programas, se agenda nueva llamada</t>
  </si>
  <si>
    <t xml:space="preserve">Lucia Morillo</t>
  </si>
  <si>
    <t xml:space="preserve">luciamorillo78@hotmail.com</t>
  </si>
  <si>
    <t xml:space="preserve">Pide que se le brinde la información por WhatsApp, se procede a enviarle la informacion para seguir en seguimiento</t>
  </si>
  <si>
    <t xml:space="preserve">licenciatura_en_gestión_y_talento_humano</t>
  </si>
  <si>
    <t xml:space="preserve">jaimegallegos21@hotmail.com</t>
  </si>
  <si>
    <t xml:space="preserve">Monique Ledesma</t>
  </si>
  <si>
    <t xml:space="preserve">Triny.ledesma@hotmail.com</t>
  </si>
  <si>
    <t xml:space="preserve">Cuenca</t>
  </si>
  <si>
    <t xml:space="preserve">Estaba en reunión, Se le envía información al correo, y se agenda nueva llamada</t>
  </si>
  <si>
    <t xml:space="preserve">No ha revisado el correo, se agenda nueva llamada</t>
  </si>
  <si>
    <t xml:space="preserve">Verito Atocha</t>
  </si>
  <si>
    <t xml:space="preserve">veritoatocha89@gmail.com</t>
  </si>
  <si>
    <t xml:space="preserve">Zapotillo</t>
  </si>
  <si>
    <t xml:space="preserve">estaba ocupada, se agenda nueva llamada</t>
  </si>
  <si>
    <t xml:space="preserve">Rosa Coello</t>
  </si>
  <si>
    <t xml:space="preserve">rosaeulaliacoello@gmail.com</t>
  </si>
  <si>
    <t xml:space="preserve">Se brinda informacion sobre la mestria, indica comunicarse despues por que está viendo opciones </t>
  </si>
  <si>
    <t xml:space="preserve">Nina Yaulema</t>
  </si>
  <si>
    <t xml:space="preserve">n_antonella18@hotmail.com</t>
  </si>
  <si>
    <t xml:space="preserve">Se agenda nueva llamada, y se brinda información</t>
  </si>
  <si>
    <t xml:space="preserve">Franklin Solano</t>
  </si>
  <si>
    <t xml:space="preserve">franklin.solano@gmail.com</t>
  </si>
  <si>
    <t xml:space="preserve">Se Brinda InformaciÓn Al Whatsapp</t>
  </si>
  <si>
    <t xml:space="preserve">Verónica Cujilema</t>
  </si>
  <si>
    <t xml:space="preserve">verop_cujilema@hotmail.com</t>
  </si>
  <si>
    <t xml:space="preserve">Marlon Israel Severino</t>
  </si>
  <si>
    <t xml:space="preserve">mrlonsevemal@gmail.com</t>
  </si>
  <si>
    <t xml:space="preserve">Jony Taipe</t>
  </si>
  <si>
    <t xml:space="preserve">jonats30@gmail.com</t>
  </si>
  <si>
    <t xml:space="preserve">Se le envía información al correo</t>
  </si>
  <si>
    <t xml:space="preserve">Luis Rendon Gutierrez</t>
  </si>
  <si>
    <t xml:space="preserve">sumicompu@gmail.com</t>
  </si>
  <si>
    <t xml:space="preserve">Rebeca Reinoso</t>
  </si>
  <si>
    <t xml:space="preserve">rebecareinoso1@hotmail.com</t>
  </si>
  <si>
    <t xml:space="preserve">correo</t>
  </si>
  <si>
    <t xml:space="preserve">estaba en el hospital, se agenda nueva llamada</t>
  </si>
  <si>
    <t xml:space="preserve">Danny Betancourt González</t>
  </si>
  <si>
    <t xml:space="preserve">danny.betancourtg@gmail.com</t>
  </si>
  <si>
    <t xml:space="preserve">Estaba conduciendo, se agenda nueva llamada-10:30</t>
  </si>
  <si>
    <t xml:space="preserve">Se brinda información, Se envía  correo  y se agenda nueva llamada</t>
  </si>
  <si>
    <t xml:space="preserve">Jenny De la Cruz</t>
  </si>
  <si>
    <t xml:space="preserve">marielita1989@live.com</t>
  </si>
  <si>
    <t xml:space="preserve">Santo Domingo</t>
  </si>
  <si>
    <t xml:space="preserve">No interesada en la licenciatura</t>
  </si>
  <si>
    <t xml:space="preserve">Jessy Pila</t>
  </si>
  <si>
    <t xml:space="preserve">jessyppila@hotmail.com</t>
  </si>
  <si>
    <t xml:space="preserve">Estaba ocupada, se agenda nueva llamada-10:40</t>
  </si>
  <si>
    <t xml:space="preserve">se brinda información y se agenda nueva llamada para el dia viernes 14 de diciembre</t>
  </si>
  <si>
    <t xml:space="preserve">Indica que en el momento no esta a su alcance tomar la licenciatura</t>
  </si>
  <si>
    <t xml:space="preserve">Vega Hipatia</t>
  </si>
  <si>
    <t xml:space="preserve">hipatia_vega@hotmail.com</t>
  </si>
  <si>
    <t xml:space="preserve">Cuyuja</t>
  </si>
  <si>
    <t xml:space="preserve">Jefferson Iza</t>
  </si>
  <si>
    <t xml:space="preserve">jizab101191@gmail.com</t>
  </si>
  <si>
    <t xml:space="preserve">Se brinda información al correo, y se agenda nueva llamada para el dia lunes 17 de diciembre a las 10:00 am</t>
  </si>
  <si>
    <t xml:space="preserve">Sara Tico</t>
  </si>
  <si>
    <t xml:space="preserve">Jo_luis_angie@hotmail.com</t>
  </si>
  <si>
    <t xml:space="preserve">INTERESADA PARA EL HIJO, PARA EL PROCESO DE HOMOLOGACION, SE BRINDA INFORMACIÓN Y SE ENVIA CORREO</t>
  </si>
  <si>
    <t xml:space="preserve">Interesado para homologación, se hace seguimiento por WhatsApp</t>
  </si>
  <si>
    <t xml:space="preserve">Se agenda nueva llamada para el dia viernes 31 de diciembre para mirar si esta interesada en el proceso para el hijo</t>
  </si>
  <si>
    <t xml:space="preserve">Ericka Villamar Garcia</t>
  </si>
  <si>
    <t xml:space="preserve">erikalorenavillamargarciagmail.com</t>
  </si>
  <si>
    <t xml:space="preserve">No se encontró numero de telefono para contactar, se envia informacionn al correo</t>
  </si>
  <si>
    <t xml:space="preserve">Lenin Rudy Quintero Robinzon</t>
  </si>
  <si>
    <t xml:space="preserve">lquinterorobinzon@gmail.com</t>
  </si>
  <si>
    <t xml:space="preserve">Estaba Manejando, Se Agenda Nueva Llamada </t>
  </si>
  <si>
    <t xml:space="preserve">licenciatura_en_finanzas</t>
  </si>
  <si>
    <t xml:space="preserve">Karina Columba</t>
  </si>
  <si>
    <t xml:space="preserve">karyna.eli@hotmail.com</t>
  </si>
  <si>
    <t xml:space="preserve">Indica Que Se Acercara Directamente  A La Uteg Aproximadamente El 30 De Diciembre</t>
  </si>
  <si>
    <t xml:space="preserve">Visita la uteg</t>
  </si>
  <si>
    <t xml:space="preserve">Cristhian Santiago</t>
  </si>
  <si>
    <t xml:space="preserve">santyna12@hotmail.es</t>
  </si>
  <si>
    <t xml:space="preserve">se brinda información y se sigue en seguimiento por WhatsApp</t>
  </si>
  <si>
    <t xml:space="preserve">Guisela Riera Benalcazar</t>
  </si>
  <si>
    <t xml:space="preserve">guise2009@gmail.com</t>
  </si>
  <si>
    <t xml:space="preserve">Se encontraba manejando, se agenda nueva llamada- 05:30</t>
  </si>
  <si>
    <t xml:space="preserve">gusldu_8@yahoo.com</t>
  </si>
  <si>
    <t xml:space="preserve">Se brinda información de la licenciatura, y se envía correo con informacion, se agenda nueva llamada</t>
  </si>
  <si>
    <t xml:space="preserve">contacto repetido</t>
  </si>
  <si>
    <t xml:space="preserve">Marcia Blum</t>
  </si>
  <si>
    <t xml:space="preserve">margell7648@gmail.com</t>
  </si>
  <si>
    <t xml:space="preserve">se brinda información y Se envía gmail, se agenda nueva llamada</t>
  </si>
  <si>
    <t xml:space="preserve">Leonor Bermeo Viteri</t>
  </si>
  <si>
    <t xml:space="preserve">leo.bermeo@hotmail.com</t>
  </si>
  <si>
    <t xml:space="preserve">se brinda informacion, Se le envía al correo, y se agenda nueva llamada </t>
  </si>
  <si>
    <t xml:space="preserve">aún no ha revisado el correo, se agenda nueva llamada</t>
  </si>
  <si>
    <t xml:space="preserve">Karen Michelle Tapia</t>
  </si>
  <si>
    <t xml:space="preserve">kmtg0046@gmail.com</t>
  </si>
  <si>
    <t xml:space="preserve">María Isabel Niemes Behr</t>
  </si>
  <si>
    <t xml:space="preserve">mariachabela1914@hotmail.com</t>
  </si>
  <si>
    <t xml:space="preserve">Se brindó toda la información y se procedió a realizar preinscripción, se envía correo electrónico con los requisitos y se agenda nueva llamada para seguir en seguimiento</t>
  </si>
  <si>
    <t xml:space="preserve">No se encontraba, se agenda nueva llamada</t>
  </si>
  <si>
    <t xml:space="preserve">Se hace seguimiento y se envia por WhatsApp requisitos, queda pendiente para confirmar entrevista</t>
  </si>
  <si>
    <t xml:space="preserve">Katty Alexandra Sánchez Paloneque</t>
  </si>
  <si>
    <t xml:space="preserve">kattysanchez1990@gmail.com</t>
  </si>
  <si>
    <t xml:space="preserve">Katty A. Sanchez Palomeque</t>
  </si>
  <si>
    <t xml:space="preserve">katipi-594@hotmail.com</t>
  </si>
  <si>
    <t xml:space="preserve">Jennifer Paida</t>
  </si>
  <si>
    <t xml:space="preserve">jennyp_sextoc@hotmail.com</t>
  </si>
  <si>
    <t xml:space="preserve">Se envía correo por que estaba en el trabajo y no podía atender, se agenda nueva llamada</t>
  </si>
  <si>
    <t xml:space="preserve">Mayra fernandez</t>
  </si>
  <si>
    <t xml:space="preserve">mayra_susy18@hotmail.com</t>
  </si>
  <si>
    <t xml:space="preserve">Yomaira Jaramillo</t>
  </si>
  <si>
    <t xml:space="preserve">yomaira.jaramillo92@hotmail.com</t>
  </si>
  <si>
    <t xml:space="preserve">no esta interesada por lo lejos que vive</t>
  </si>
  <si>
    <t xml:space="preserve">no interesado</t>
  </si>
  <si>
    <t xml:space="preserve">Soledad Lopez</t>
  </si>
  <si>
    <t xml:space="preserve">Solansh19@yahoo.com</t>
  </si>
  <si>
    <t xml:space="preserve">volver a llamar se encuentra ocupada en el banco</t>
  </si>
  <si>
    <t xml:space="preserve">Danny Zambrano</t>
  </si>
  <si>
    <t xml:space="preserve">dannyfer15282@gmail.com</t>
  </si>
  <si>
    <t xml:space="preserve">Se brinda asesoría y se realiza preinscripción, se queda pendiente de los documentos</t>
  </si>
  <si>
    <t xml:space="preserve">Preinscripción en llamada</t>
  </si>
  <si>
    <t xml:space="preserve">Glenda Morales</t>
  </si>
  <si>
    <t xml:space="preserve">glenda_moralcast@hotmail.com</t>
  </si>
  <si>
    <t xml:space="preserve">Patricia Chiliguano</t>
  </si>
  <si>
    <t xml:space="preserve">reinaelizabeth290@gmail.com</t>
  </si>
  <si>
    <t xml:space="preserve">Elizabeth Cruz</t>
  </si>
  <si>
    <t xml:space="preserve">elizabethcris82@hotmail.com</t>
  </si>
  <si>
    <t xml:space="preserve">Josy Martillo</t>
  </si>
  <si>
    <t xml:space="preserve">j.martillot@jardinazuayo.fin.ec</t>
  </si>
  <si>
    <t xml:space="preserve">Se brinda toda la asesoría y se procede a realizar preinscripción, ingresa por homologacion</t>
  </si>
  <si>
    <t xml:space="preserve">Victor Cajamarca Alao</t>
  </si>
  <si>
    <t xml:space="preserve">rexius-95@hotmail.com</t>
  </si>
  <si>
    <t xml:space="preserve">Se brinda información sobre la licenciatura y se agenda nueva llamada</t>
  </si>
  <si>
    <t xml:space="preserve">aun está viendo opciones, se comunicará en el momento que esté decidido</t>
  </si>
  <si>
    <t xml:space="preserve">Xiomi Petao</t>
  </si>
  <si>
    <t xml:space="preserve">xiojoel_16@hotmail.com</t>
  </si>
  <si>
    <t xml:space="preserve">Patito Patricio</t>
  </si>
  <si>
    <t xml:space="preserve">patricio.nivecela@gmail.com</t>
  </si>
  <si>
    <t xml:space="preserve">Se brinda informacion, se envia correo y se agenda nueva llamada </t>
  </si>
  <si>
    <t xml:space="preserve">Maferita Morejon Desiderio</t>
  </si>
  <si>
    <t xml:space="preserve">mariafernanda0207@hotmail.com</t>
  </si>
  <si>
    <t xml:space="preserve">Amanda Paspuezan</t>
  </si>
  <si>
    <t xml:space="preserve">kathypaspuezan@yahoo.es</t>
  </si>
  <si>
    <t xml:space="preserve">Sabri Miranda Mck</t>
  </si>
  <si>
    <t xml:space="preserve">bell_watsontheonly@hotmail.com</t>
  </si>
  <si>
    <t xml:space="preserve">Se le envia Informacion al correo</t>
  </si>
  <si>
    <t xml:space="preserve">Mercedes Vaque Heredia</t>
  </si>
  <si>
    <t xml:space="preserve">angelina_mayte7@hotmail.com</t>
  </si>
  <si>
    <t xml:space="preserve">se brinda informacion por correo electronico</t>
  </si>
  <si>
    <t xml:space="preserve">Ninoskå Vållejo</t>
  </si>
  <si>
    <t xml:space="preserve">ninosk19_isfervaullo@hotmail.com</t>
  </si>
  <si>
    <t xml:space="preserve">Se brinda toda la información y se envia correo</t>
  </si>
  <si>
    <t xml:space="preserve">JIMMY INLAGO</t>
  </si>
  <si>
    <t xml:space="preserve">jimmy160891@gmail.com</t>
  </si>
  <si>
    <t xml:space="preserve">Estaba ocupado, se agenda nueva llamada</t>
  </si>
  <si>
    <t xml:space="preserve">Jenny Condoy</t>
  </si>
  <si>
    <t xml:space="preserve">jenny-7927@hotmail.com</t>
  </si>
  <si>
    <t xml:space="preserve">Se brinda asesoría pero esta interesada es en maestrías Online</t>
  </si>
  <si>
    <t xml:space="preserve">Jenny Liliana Macas</t>
  </si>
  <si>
    <t xml:space="preserve">jemacs2000@yahoo.com</t>
  </si>
  <si>
    <t xml:space="preserve">se le brinda la asesoría, queda en comunicarse en caso de que tome la decisión </t>
  </si>
  <si>
    <t xml:space="preserve">Rafael Campoverde</t>
  </si>
  <si>
    <t xml:space="preserve">rcespinoza72@hotmail.com</t>
  </si>
  <si>
    <t xml:space="preserve">interesado en maestría solo de investigación</t>
  </si>
  <si>
    <t xml:space="preserve">Verito Loaiza</t>
  </si>
  <si>
    <t xml:space="preserve">vloaiza1@hotmail.com</t>
  </si>
  <si>
    <t xml:space="preserve">quito</t>
  </si>
  <si>
    <t xml:space="preserve">Se envia correo con informacion</t>
  </si>
  <si>
    <t xml:space="preserve">Maria Judith Roman Aguirre</t>
  </si>
  <si>
    <t xml:space="preserve">judithromana@gmail.com</t>
  </si>
  <si>
    <t xml:space="preserve">Loja</t>
  </si>
  <si>
    <t xml:space="preserve">Se brinda información al correo y se agenda nueva llamada</t>
  </si>
  <si>
    <t xml:space="preserve">Estaba en reunión, queda en responder el correo</t>
  </si>
  <si>
    <t xml:space="preserve">Ligia Mendieta Solorzano</t>
  </si>
  <si>
    <t xml:space="preserve">marlenem1984@hotmail.com</t>
  </si>
  <si>
    <t xml:space="preserve">San Cristóbal</t>
  </si>
  <si>
    <t xml:space="preserve">Se agenda nueva llamada-estaba ocupada</t>
  </si>
  <si>
    <t xml:space="preserve">Cristian Edwin</t>
  </si>
  <si>
    <t xml:space="preserve">cristianedwins5@gmail.com</t>
  </si>
  <si>
    <t xml:space="preserve">el numero esta restringido para recibir llamadas</t>
  </si>
  <si>
    <t xml:space="preserve">Katherine Esther Ramirez</t>
  </si>
  <si>
    <t xml:space="preserve">Kponguillo.r@gmail.com</t>
  </si>
  <si>
    <t xml:space="preserve">Semc SoeNegra</t>
  </si>
  <si>
    <t xml:space="preserve">soely_nena@hotmail.com</t>
  </si>
  <si>
    <t xml:space="preserve">está terminando una tecnología, términa para febrero del 2019 </t>
  </si>
  <si>
    <t xml:space="preserve">May Bella</t>
  </si>
  <si>
    <t xml:space="preserve">fernandap90@Hotmail.com</t>
  </si>
  <si>
    <t xml:space="preserve">se le brindo la informacion y dijo q lo pensaria</t>
  </si>
  <si>
    <t xml:space="preserve">Desea aplazar para marzo, para mirar como esa económicamente si le da para estudiar</t>
  </si>
  <si>
    <t xml:space="preserve">Aplazado</t>
  </si>
  <si>
    <t xml:space="preserve">licenciatura_en_administración_portuaria_y_aduanera</t>
  </si>
  <si>
    <t xml:space="preserve">Fabiolitap Marquez</t>
  </si>
  <si>
    <t xml:space="preserve">Fabiolita2009ec@yahoo.es</t>
  </si>
  <si>
    <t xml:space="preserve">Se brinda información y se envia gmail con información  </t>
  </si>
  <si>
    <t xml:space="preserve">Henry Guido Proaño Robalino</t>
  </si>
  <si>
    <t xml:space="preserve">henrypro30@yahoo.es</t>
  </si>
  <si>
    <t xml:space="preserve">Iván García</t>
  </si>
  <si>
    <t xml:space="preserve">joseivan.garcia@hotmail.com</t>
  </si>
  <si>
    <t xml:space="preserve">Se agenda nueva llamada para mirar si va a proceder a la inscripción </t>
  </si>
  <si>
    <t xml:space="preserve">Estaba en reunión, se agenda nueva llamada</t>
  </si>
  <si>
    <t xml:space="preserve">Karlita Marcela</t>
  </si>
  <si>
    <t xml:space="preserve">eckmalvarez20@gmail.com</t>
  </si>
  <si>
    <t xml:space="preserve">José Chacho Gómez</t>
  </si>
  <si>
    <t xml:space="preserve">jchacho1990@hotmail.com</t>
  </si>
  <si>
    <t xml:space="preserve">Indica que se va a dirigir directamente a la universidad el 24 o 25 de diciembre</t>
  </si>
  <si>
    <t xml:space="preserve">Edgar Rafael Chuva Gomez</t>
  </si>
  <si>
    <t xml:space="preserve">echuvag@gmail.com</t>
  </si>
  <si>
    <t xml:space="preserve">Estaba interesado en el MBA</t>
  </si>
  <si>
    <t xml:space="preserve">Jesus Perez</t>
  </si>
  <si>
    <t xml:space="preserve">jesusperezparachute@gmail.com</t>
  </si>
  <si>
    <t xml:space="preserve">indica ir directamente a la Uteg después de enero</t>
  </si>
  <si>
    <t xml:space="preserve">Derly Abel Salazar Zambrano</t>
  </si>
  <si>
    <t xml:space="preserve">derlysalazarz1529@gmail.com</t>
  </si>
  <si>
    <t xml:space="preserve">Lady Alulima Rios</t>
  </si>
  <si>
    <t xml:space="preserve">mialady6@gmail.com</t>
  </si>
  <si>
    <t xml:space="preserve">Sîîndy Êlîîzâbth</t>
  </si>
  <si>
    <t xml:space="preserve">gualapuro1002@gmail.com</t>
  </si>
  <si>
    <t xml:space="preserve">otavalo</t>
  </si>
  <si>
    <t xml:space="preserve">Ya se encuentra en otra universidad</t>
  </si>
  <si>
    <t xml:space="preserve">Alexandra Bueno</t>
  </si>
  <si>
    <t xml:space="preserve">alexb260766@gmail.com</t>
  </si>
  <si>
    <t xml:space="preserve">Machala</t>
  </si>
  <si>
    <t xml:space="preserve">Se envía gmail, se agenda nueva llamada</t>
  </si>
  <si>
    <t xml:space="preserve">Se envía nuevamente correo con información</t>
  </si>
  <si>
    <t xml:space="preserve">Roger Herrera</t>
  </si>
  <si>
    <t xml:space="preserve">rogerherrera80@gmail.com</t>
  </si>
  <si>
    <t xml:space="preserve">por ahora no desea tomar el programa</t>
  </si>
  <si>
    <t xml:space="preserve">Wilson Cayambe</t>
  </si>
  <si>
    <t xml:space="preserve">wil_056@yahoo.es</t>
  </si>
  <si>
    <t xml:space="preserve">Cristina Piedad</t>
  </si>
  <si>
    <t xml:space="preserve">navarrete89piedad@gmail.com</t>
  </si>
  <si>
    <t xml:space="preserve">Se brinda información y se realiza preinscripción</t>
  </si>
  <si>
    <t xml:space="preserve">Maribel Martinez</t>
  </si>
  <si>
    <t xml:space="preserve">maribel18-martinez@hotmail.com</t>
  </si>
  <si>
    <t xml:space="preserve">San Lorenzo</t>
  </si>
  <si>
    <t xml:space="preserve">Juan Carlos Barzola Solorzano</t>
  </si>
  <si>
    <t xml:space="preserve">juan_1975barzola@hotmail.com</t>
  </si>
  <si>
    <t xml:space="preserve">Milagro</t>
  </si>
  <si>
    <t xml:space="preserve">Número incorrecto</t>
  </si>
  <si>
    <t xml:space="preserve">Victor Palacios</t>
  </si>
  <si>
    <t xml:space="preserve">victor1992anto@hotmail.es</t>
  </si>
  <si>
    <t xml:space="preserve">Por ahora no esta interesado</t>
  </si>
  <si>
    <t xml:space="preserve">Julio Renne Lazo</t>
  </si>
  <si>
    <t xml:space="preserve">rene20-12@hotmail.com</t>
  </si>
  <si>
    <t xml:space="preserve">Se brinda toda la información, y se agenda nueva llamada</t>
  </si>
  <si>
    <t xml:space="preserve">Johyta Encalada Caceres</t>
  </si>
  <si>
    <t xml:space="preserve">marciajohannaec@hotmail.com</t>
  </si>
  <si>
    <t xml:space="preserve">Azogues</t>
  </si>
  <si>
    <t xml:space="preserve">Estaba conduciendo, se agenda nueva llamada</t>
  </si>
  <si>
    <t xml:space="preserve">Ivan Mauricio Farinango</t>
  </si>
  <si>
    <t xml:space="preserve">navi882009@hotmail.com</t>
  </si>
  <si>
    <t xml:space="preserve">San Miguel de Salcedo</t>
  </si>
  <si>
    <t xml:space="preserve">Se Encontraba Conduciendo-se Agenda Nueva Llamada </t>
  </si>
  <si>
    <t xml:space="preserve">Carmita Vega Ibarra</t>
  </si>
  <si>
    <t xml:space="preserve">carmitavegaibarra@gmail.com</t>
  </si>
  <si>
    <t xml:space="preserve">caluma</t>
  </si>
  <si>
    <t xml:space="preserve">Se agenda  nueva llamada, estaba en el trabajo</t>
  </si>
  <si>
    <t xml:space="preserve">Antonio William Zurita Macias</t>
  </si>
  <si>
    <t xml:space="preserve">antoniozurita8172@gmail.com</t>
  </si>
  <si>
    <t xml:space="preserve">Se brinda toda la información, indica que es para el hermano, se agenda nueva llamada para mirar posibles inquietudes</t>
  </si>
  <si>
    <t xml:space="preserve">Maria Beatriz Guevara</t>
  </si>
  <si>
    <t xml:space="preserve">alimentoschimborazo23@yahoo.com</t>
  </si>
  <si>
    <t xml:space="preserve">Se agenda nueva llamada, estaba ocupada</t>
  </si>
  <si>
    <t xml:space="preserve">Yeorgeth Remi</t>
  </si>
  <si>
    <t xml:space="preserve">trixitamirita@hotmail.com</t>
  </si>
  <si>
    <t xml:space="preserve">portoviejo</t>
  </si>
  <si>
    <t xml:space="preserve">Se envía información al correo, desea ingresar por homologación  </t>
  </si>
  <si>
    <t xml:space="preserve">Carla Souza</t>
  </si>
  <si>
    <t xml:space="preserve">Carla.brar@gmail.com</t>
  </si>
  <si>
    <t xml:space="preserve">No fue posible la comunicación, se agenda nueva llamada</t>
  </si>
  <si>
    <t xml:space="preserve">Nefertary Tey</t>
  </si>
  <si>
    <t xml:space="preserve">esther_2269@hotmail.com</t>
  </si>
  <si>
    <t xml:space="preserve">Se llama y se le brinda asesoría al WhatsApp</t>
  </si>
  <si>
    <t xml:space="preserve">Lissette Macas</t>
  </si>
  <si>
    <t xml:space="preserve">lissette_geminnis_1989@hotmail.com</t>
  </si>
  <si>
    <t xml:space="preserve">Se brinda toda la información y se agenda nueva llamada</t>
  </si>
  <si>
    <t xml:space="preserve">Fernando Riascos</t>
  </si>
  <si>
    <t xml:space="preserve">fernando_erm@outlook.com</t>
  </si>
  <si>
    <t xml:space="preserve">se agenda nueva llamada, estaba en el trabajo</t>
  </si>
  <si>
    <t xml:space="preserve">Yahaira Garcia</t>
  </si>
  <si>
    <t xml:space="preserve">yahita201@hotmail.com</t>
  </si>
  <si>
    <t xml:space="preserve">Tena</t>
  </si>
  <si>
    <t xml:space="preserve">Araceli Freire</t>
  </si>
  <si>
    <t xml:space="preserve">1720065992.af@gmail.com</t>
  </si>
  <si>
    <t xml:space="preserve">Alamor</t>
  </si>
  <si>
    <t xml:space="preserve">en el momento no se encuentra interesada</t>
  </si>
  <si>
    <t xml:space="preserve">Lito Ochoa</t>
  </si>
  <si>
    <t xml:space="preserve">ochoalito4@gmail.com</t>
  </si>
  <si>
    <t xml:space="preserve">azogues</t>
  </si>
  <si>
    <t xml:space="preserve">No se encontraba, había dejado su teléfono, se agenda nueva llamada</t>
  </si>
  <si>
    <t xml:space="preserve">Mariseli Del Rocio Loor Bolcato</t>
  </si>
  <si>
    <t xml:space="preserve">deltataupalosanto@yahoo.it</t>
  </si>
  <si>
    <t xml:space="preserve">Puerto López</t>
  </si>
  <si>
    <t xml:space="preserve">Indica que por ahora desea aplazar, en el momento estará muy ocupada</t>
  </si>
  <si>
    <t xml:space="preserve">Alex Alexandra</t>
  </si>
  <si>
    <t xml:space="preserve">mayalexa07_@hotmail.com</t>
  </si>
  <si>
    <t xml:space="preserve">Se brinda información y se asesora al WhatsApp</t>
  </si>
  <si>
    <t xml:space="preserve">Darks Castillo</t>
  </si>
  <si>
    <t xml:space="preserve">darks1293dcdc@gmail.com</t>
  </si>
  <si>
    <t xml:space="preserve">indica que ya le habían brindado asesoría por WhatsApp. se agenda nueva llamada para mirar que a pensado</t>
  </si>
  <si>
    <t xml:space="preserve">Luis Maldonado Novoa</t>
  </si>
  <si>
    <t xml:space="preserve">luismaldonado1977@gmail.com</t>
  </si>
  <si>
    <t xml:space="preserve">Fernand Grand</t>
  </si>
  <si>
    <t xml:space="preserve">jimneutron8987@hotmail.com</t>
  </si>
  <si>
    <t xml:space="preserve">Se brinda información y se envía correo, se agenda nueva llamada</t>
  </si>
  <si>
    <t xml:space="preserve">indica que se comunicará en el momento que se encuentre interesado</t>
  </si>
  <si>
    <t xml:space="preserve">Marlon Jaime Suarez</t>
  </si>
  <si>
    <t xml:space="preserve">marlon_jaime19@hotmail.com</t>
  </si>
  <si>
    <t xml:space="preserve">Se Envia Correo Con InformaciÓn Y Se Agenda Nueva Llamada</t>
  </si>
  <si>
    <t xml:space="preserve">Luis Adrian Morejon</t>
  </si>
  <si>
    <t xml:space="preserve">luismorejon1975@gmail.com</t>
  </si>
  <si>
    <t xml:space="preserve">Angelito Gavilanez</t>
  </si>
  <si>
    <t xml:space="preserve">angelgav10@hotmail.com</t>
  </si>
  <si>
    <t xml:space="preserve">por ahora ya no se encuentra interesado</t>
  </si>
  <si>
    <t xml:space="preserve">Diana Isabel Pardo Castro</t>
  </si>
  <si>
    <t xml:space="preserve">dia-pc@hotmail.com</t>
  </si>
  <si>
    <t xml:space="preserve">Huaquillas</t>
  </si>
  <si>
    <t xml:space="preserve">Jose Andy</t>
  </si>
  <si>
    <t xml:space="preserve">andyjose806@gmail.com</t>
  </si>
  <si>
    <t xml:space="preserve">INTERESADO EN INGENIERIA AUTOMOTRIZ</t>
  </si>
  <si>
    <t xml:space="preserve">Paredes Lorena</t>
  </si>
  <si>
    <t xml:space="preserve">laia77lander@gmail.com</t>
  </si>
  <si>
    <t xml:space="preserve">ecuador ibarra</t>
  </si>
  <si>
    <t xml:space="preserve">interesada en licenciatura parvularia </t>
  </si>
  <si>
    <t xml:space="preserve">marisela grefa</t>
  </si>
  <si>
    <t xml:space="preserve">grefam221@gmail.com</t>
  </si>
  <si>
    <t xml:space="preserve">Leandro Shig</t>
  </si>
  <si>
    <t xml:space="preserve">le.kayakeroloco@gmail.com</t>
  </si>
  <si>
    <t xml:space="preserve">por ahora no se encuentra interesado</t>
  </si>
  <si>
    <t xml:space="preserve">Yesica Bermello Romero</t>
  </si>
  <si>
    <t xml:space="preserve">yesicabermellor@hotmail.com</t>
  </si>
  <si>
    <t xml:space="preserve">Número equivocado </t>
  </si>
  <si>
    <t xml:space="preserve">Sofy FRamirez</t>
  </si>
  <si>
    <t xml:space="preserve">lcda.sofia.flor@gmail.com</t>
  </si>
  <si>
    <t xml:space="preserve">Edisonleonel Parragacedeño</t>
  </si>
  <si>
    <t xml:space="preserve">endicarr@gmail.com</t>
  </si>
  <si>
    <t xml:space="preserve">No se encontraba, se agenda nueva llamada </t>
  </si>
  <si>
    <t xml:space="preserve">se encuentra interesado, se brinda asesoría por WhatsApp para estar en seguimiento</t>
  </si>
  <si>
    <t xml:space="preserve">Christian Castro</t>
  </si>
  <si>
    <t xml:space="preserve">jossetcastro@gmail.com</t>
  </si>
  <si>
    <t xml:space="preserve">Eduardo Dutan</t>
  </si>
  <si>
    <t xml:space="preserve">edu-dutan@hotmail.com</t>
  </si>
  <si>
    <t xml:space="preserve">Se agenda nueva llamada, no cree que le quede flexible el horario de la maestría</t>
  </si>
  <si>
    <t xml:space="preserve">Magali Suquisupa</t>
  </si>
  <si>
    <t xml:space="preserve">maggy301@hotmail.es</t>
  </si>
  <si>
    <t xml:space="preserve">Se le envia correo con informacion</t>
  </si>
  <si>
    <t xml:space="preserve">Jeanneth Alexandra Bonoso velez</t>
  </si>
  <si>
    <t xml:space="preserve">bonovelez1@yahoo.es</t>
  </si>
  <si>
    <t xml:space="preserve">Solicita información por correo,se agenda nueva llamada</t>
  </si>
  <si>
    <t xml:space="preserve">En el momento no se encuentra interesada</t>
  </si>
  <si>
    <t xml:space="preserve">se brinda informacion y se agenda nueva llamada</t>
  </si>
  <si>
    <t xml:space="preserve">Jamil Jose Witt Bermeo</t>
  </si>
  <si>
    <t xml:space="preserve">jamilwitt16@hotmail.com</t>
  </si>
  <si>
    <t xml:space="preserve">Indica que desea aplazar por que por el momento esta con otros asuntos</t>
  </si>
  <si>
    <t xml:space="preserve">wajarai chumpi jimpikit sandro</t>
  </si>
  <si>
    <t xml:space="preserve">jhonatanwajarai1992@gmail.com</t>
  </si>
  <si>
    <t xml:space="preserve">SE BRINDA ASESORÍA POR WHATSAPP</t>
  </si>
  <si>
    <t xml:space="preserve">Luis Francisco Gómez García</t>
  </si>
  <si>
    <t xml:space="preserve">francisco_gomez26@hotmail.com</t>
  </si>
  <si>
    <t xml:space="preserve">Se envía información al correo electrónico-se agenda nueva llamada </t>
  </si>
  <si>
    <t xml:space="preserve">Jhonatan Chumpi</t>
  </si>
  <si>
    <t xml:space="preserve">Noemi Andrade Garcia</t>
  </si>
  <si>
    <t xml:space="preserve">interesada en licenciaturas de la educación</t>
  </si>
  <si>
    <t xml:space="preserve">Soledad Bonilla Calderon</t>
  </si>
  <si>
    <t xml:space="preserve">gl-soledadb@hotmail.com</t>
  </si>
  <si>
    <t xml:space="preserve">indica que ya no esta interesada </t>
  </si>
  <si>
    <t xml:space="preserve">Maria Belen Garzon</t>
  </si>
  <si>
    <t xml:space="preserve">marybelen_gt@hotmail.es</t>
  </si>
  <si>
    <t xml:space="preserve">indica que va a ir directamente a la universidad el día 19 de diciembre </t>
  </si>
  <si>
    <t xml:space="preserve">por el momento no se encuentra interesada</t>
  </si>
  <si>
    <t xml:space="preserve">John Saavedra</t>
  </si>
  <si>
    <t xml:space="preserve">elecmatik_10@hotmail.com</t>
  </si>
  <si>
    <t xml:space="preserve">Se agenda nueva llamada, para mirar si puede ingresar al proceso, ya que estaba  estudiando anteriormente en la universidad y desea mirar si quedo debiendo materias</t>
  </si>
  <si>
    <t xml:space="preserve">Mario Fabián</t>
  </si>
  <si>
    <t xml:space="preserve">Mario.alomaliza@yahoo.es</t>
  </si>
  <si>
    <t xml:space="preserve">Victor Tanguila</t>
  </si>
  <si>
    <t xml:space="preserve">tauro_tango@hotmail.com</t>
  </si>
  <si>
    <t xml:space="preserve">No se encontraba, se agenda nueva nueva llamada</t>
  </si>
  <si>
    <t xml:space="preserve">no se encuentra interesado</t>
  </si>
  <si>
    <t xml:space="preserve">Verito Enrìquez</t>
  </si>
  <si>
    <t xml:space="preserve">nenita_verito.91@hotmail.com</t>
  </si>
  <si>
    <t xml:space="preserve">Cristian Requenes</t>
  </si>
  <si>
    <t xml:space="preserve">doncris191@hotmail.com</t>
  </si>
  <si>
    <t xml:space="preserve">Vanessa Farias</t>
  </si>
  <si>
    <t xml:space="preserve">chinitayogo@hotmail.com</t>
  </si>
  <si>
    <t xml:space="preserve">Estaba ocupada, se agenda nueva llamada</t>
  </si>
  <si>
    <t xml:space="preserve">Vita Rodriguez</t>
  </si>
  <si>
    <t xml:space="preserve">evimosrodriguez@gmail.com</t>
  </si>
  <si>
    <t xml:space="preserve">Bucay</t>
  </si>
  <si>
    <t xml:space="preserve">Indica que se acercara directamente  a la universidad el próximo 25 de diciembre</t>
  </si>
  <si>
    <t xml:space="preserve">Jorge Huaman</t>
  </si>
  <si>
    <t xml:space="preserve">jorgesiul1986@hotmail.com</t>
  </si>
  <si>
    <t xml:space="preserve">Willans Hernan</t>
  </si>
  <si>
    <t xml:space="preserve">willianshernan@hotmail.com</t>
  </si>
  <si>
    <t xml:space="preserve">Riobamba</t>
  </si>
  <si>
    <t xml:space="preserve">Dayse Piedad Galarza Aguilar</t>
  </si>
  <si>
    <t xml:space="preserve">dayse_2487@hotmail.com</t>
  </si>
  <si>
    <t xml:space="preserve">Se envía información al correo electrónico y se agenda nueva llamada</t>
  </si>
  <si>
    <t xml:space="preserve">Está interesada en derecho </t>
  </si>
  <si>
    <t xml:space="preserve">Gilson Morales</t>
  </si>
  <si>
    <t xml:space="preserve">gilson1993.morales@gmail.com</t>
  </si>
  <si>
    <t xml:space="preserve">San Pablo</t>
  </si>
  <si>
    <t xml:space="preserve">Se realiza preinscripcion en llamada</t>
  </si>
  <si>
    <t xml:space="preserve">Está al pendiente de los documentos, se agenda nueva llamada para mirar el proceso-29 de diciembre</t>
  </si>
  <si>
    <t xml:space="preserve">Indica enviar documentos el dia de hoy 29 de diciembre</t>
  </si>
  <si>
    <t xml:space="preserve">Pendiente documentación</t>
  </si>
  <si>
    <t xml:space="preserve">Yaira Zambrano</t>
  </si>
  <si>
    <t xml:space="preserve">yairazambrano1993@gmail.com</t>
  </si>
  <si>
    <t xml:space="preserve">Indica que asistirá directamente a la universidad</t>
  </si>
  <si>
    <t xml:space="preserve">visita la uteg</t>
  </si>
  <si>
    <t xml:space="preserve">Edison Raul Toapanta</t>
  </si>
  <si>
    <t xml:space="preserve">edison_toapanta2003@yahoo.es</t>
  </si>
  <si>
    <t xml:space="preserve">Elizabeth Arias</t>
  </si>
  <si>
    <t xml:space="preserve">maia.arias@hotmail.com</t>
  </si>
  <si>
    <t xml:space="preserve">Salinas</t>
  </si>
  <si>
    <t xml:space="preserve">Nancyta Duque</t>
  </si>
  <si>
    <t xml:space="preserve">josyto-18@hotmail.com</t>
  </si>
  <si>
    <t xml:space="preserve">Brussels</t>
  </si>
  <si>
    <t xml:space="preserve">Número errado</t>
  </si>
  <si>
    <t xml:space="preserve">Andrea Sanchez</t>
  </si>
  <si>
    <t xml:space="preserve">andre.1692@hotmail.com</t>
  </si>
  <si>
    <t xml:space="preserve">Elizabeth PI</t>
  </si>
  <si>
    <t xml:space="preserve">wendelipico592@gmail.com</t>
  </si>
  <si>
    <t xml:space="preserve">No   contesta</t>
  </si>
  <si>
    <t xml:space="preserve">esta terminado los estudios en otra universidad </t>
  </si>
  <si>
    <t xml:space="preserve">Angelica Salcedo</t>
  </si>
  <si>
    <t xml:space="preserve">sanggy86@gmail.com</t>
  </si>
  <si>
    <t xml:space="preserve">San Lorenzo Ecuador</t>
  </si>
  <si>
    <t xml:space="preserve">En el momento no tiene la disponibilidad de tomar la licenciatura</t>
  </si>
  <si>
    <t xml:space="preserve">Cynthia Villarreal</t>
  </si>
  <si>
    <t xml:space="preserve">aracelyta.vm@hotmail.com</t>
  </si>
  <si>
    <t xml:space="preserve">Melly Herrera</t>
  </si>
  <si>
    <t xml:space="preserve">mellherrera@hotmail.com</t>
  </si>
  <si>
    <t xml:space="preserve">Se brinda información y se realiza preinscripción en llamada</t>
  </si>
  <si>
    <t xml:space="preserve">Cristian Borja</t>
  </si>
  <si>
    <t xml:space="preserve">andres-211993@hotmail.com</t>
  </si>
  <si>
    <t xml:space="preserve">La Maná</t>
  </si>
  <si>
    <t xml:space="preserve">En el momento  no se encuentra interesado</t>
  </si>
  <si>
    <t xml:space="preserve">Alexis Villacis</t>
  </si>
  <si>
    <t xml:space="preserve">lagemelt@hotmail.com.ec</t>
  </si>
  <si>
    <t xml:space="preserve">Estaba en el trabajo, procede a brindar asesoría por WhatsApp</t>
  </si>
  <si>
    <t xml:space="preserve">Nadya Michelle Muñoz</t>
  </si>
  <si>
    <t xml:space="preserve">lachina.j82-c@hotmail.com</t>
  </si>
  <si>
    <t xml:space="preserve">Se Brinda Información Y Se Envía Correo</t>
  </si>
  <si>
    <t xml:space="preserve">Fernanda Alvarez</t>
  </si>
  <si>
    <t xml:space="preserve">feralvarez22@hotmail.com</t>
  </si>
  <si>
    <t xml:space="preserve">Cesar Honorio Mendieta Maldonado</t>
  </si>
  <si>
    <t xml:space="preserve">cesar801152@gmail.com</t>
  </si>
  <si>
    <t xml:space="preserve">Contestó, pero colgó la llamada</t>
  </si>
  <si>
    <t xml:space="preserve">Nuvia Soraya Ayala Morales</t>
  </si>
  <si>
    <t xml:space="preserve">nuvsoraya@hotmail.com</t>
  </si>
  <si>
    <t xml:space="preserve">Se brinda asesoría y se asesora también por WhatsApp</t>
  </si>
  <si>
    <t xml:space="preserve">Diana Camacho</t>
  </si>
  <si>
    <t xml:space="preserve">melanyxiomarabonillacamacho@gmail.com</t>
  </si>
  <si>
    <t xml:space="preserve">montalvo</t>
  </si>
  <si>
    <t xml:space="preserve">Indica que asistirá directamente a la universidad </t>
  </si>
  <si>
    <t xml:space="preserve">Cecibel Patiño</t>
  </si>
  <si>
    <t xml:space="preserve">alexandrapatinoortega08@gmail.com</t>
  </si>
  <si>
    <t xml:space="preserve">Es para el esposo, se agenda nueva  llamada para mirar respuesta</t>
  </si>
  <si>
    <t xml:space="preserve">Se envía correo con información </t>
  </si>
  <si>
    <t xml:space="preserve">Freddy Gonzalo Songor</t>
  </si>
  <si>
    <t xml:space="preserve">songorfreddy21@gmail.com</t>
  </si>
  <si>
    <t xml:space="preserve">Susana Pante</t>
  </si>
  <si>
    <t xml:space="preserve">susanamaribelq@gmail.com</t>
  </si>
  <si>
    <t xml:space="preserve">Erika Tatiana Pinos Palaguachi</t>
  </si>
  <si>
    <t xml:space="preserve">tatysspinos@gmail.com</t>
  </si>
  <si>
    <t xml:space="preserve">Azoguez</t>
  </si>
  <si>
    <t xml:space="preserve">Javier Toala</t>
  </si>
  <si>
    <t xml:space="preserve">tjtp2017@outlook.com</t>
  </si>
  <si>
    <t xml:space="preserve">Jipijapa</t>
  </si>
  <si>
    <t xml:space="preserve">Rodrigo Yepez</t>
  </si>
  <si>
    <t xml:space="preserve">ryepez84@hotmail.com</t>
  </si>
  <si>
    <t xml:space="preserve">Coca</t>
  </si>
  <si>
    <t xml:space="preserve">Silvia Cajas</t>
  </si>
  <si>
    <t xml:space="preserve">snc2@outlook.es</t>
  </si>
  <si>
    <t xml:space="preserve">Se brinda información y se envía correo</t>
  </si>
  <si>
    <t xml:space="preserve">Abel Chavez</t>
  </si>
  <si>
    <t xml:space="preserve">cabel78@yahoo.com</t>
  </si>
  <si>
    <t xml:space="preserve">Se brinda información y queda en comunicarse en caso tal de que desee iniciar proceso </t>
  </si>
  <si>
    <t xml:space="preserve">Xime Naranjo</t>
  </si>
  <si>
    <t xml:space="preserve">xiyanaru2@hotmail.com</t>
  </si>
  <si>
    <t xml:space="preserve">Indica que desea aplazar</t>
  </si>
  <si>
    <t xml:space="preserve">William Stalin Contento Tenesaca</t>
  </si>
  <si>
    <t xml:space="preserve">euforialoja@yahoo.es</t>
  </si>
  <si>
    <t xml:space="preserve">Se envía correo con información</t>
  </si>
  <si>
    <t xml:space="preserve">No interesado por el momento</t>
  </si>
  <si>
    <t xml:space="preserve">Kleber S Guerra</t>
  </si>
  <si>
    <t xml:space="preserve">klebergh28@hotmail.com</t>
  </si>
  <si>
    <t xml:space="preserve">Santo Domingo de los Colorados</t>
  </si>
  <si>
    <t xml:space="preserve">Diany'ss Liss M Vallejo</t>
  </si>
  <si>
    <t xml:space="preserve">dili1819@hotmail.com</t>
  </si>
  <si>
    <t xml:space="preserve">Jorge Arroyo</t>
  </si>
  <si>
    <t xml:space="preserve">jorgeluisnayo1@hotmail.com</t>
  </si>
  <si>
    <t xml:space="preserve">Se agenda nueva llamada para mirar posible inscripción </t>
  </si>
  <si>
    <t xml:space="preserve">Karen Sofía Cueva Ullauri</t>
  </si>
  <si>
    <t xml:space="preserve">kscueva23@hotmail.com</t>
  </si>
  <si>
    <t xml:space="preserve">Se envía información al correo por que estaba en el trabajo, se agenda nueva llamada</t>
  </si>
  <si>
    <t xml:space="preserve">Paola de Salinas</t>
  </si>
  <si>
    <t xml:space="preserve">pamati_001@hotmail.com</t>
  </si>
  <si>
    <t xml:space="preserve">no estaba, se agenda nueva llamada</t>
  </si>
  <si>
    <t xml:space="preserve">Yady Pullas</t>
  </si>
  <si>
    <t xml:space="preserve">pochitavidgod@yahoo.com</t>
  </si>
  <si>
    <t xml:space="preserve">Karina Ordoñez</t>
  </si>
  <si>
    <t xml:space="preserve">karordtin@hotmail.com</t>
  </si>
  <si>
    <t xml:space="preserve">Rodrigo Achina</t>
  </si>
  <si>
    <t xml:space="preserve">rodrigo171achina7@gmail.com</t>
  </si>
  <si>
    <t xml:space="preserve">Willian Cordonez</t>
  </si>
  <si>
    <t xml:space="preserve">willianscordonez@hotmail.com</t>
  </si>
  <si>
    <t xml:space="preserve">Jonathan Revelo</t>
  </si>
  <si>
    <t xml:space="preserve">ligasreve2191@gmail.com</t>
  </si>
  <si>
    <t xml:space="preserve">Ysnoly Paucar de Lezama</t>
  </si>
  <si>
    <t xml:space="preserve">ysnoly@hotmail.com</t>
  </si>
  <si>
    <t xml:space="preserve">Frank Campozano</t>
  </si>
  <si>
    <t xml:space="preserve">frankcampozano@gmail.com</t>
  </si>
  <si>
    <t xml:space="preserve">Andy Israel Cordova</t>
  </si>
  <si>
    <t xml:space="preserve">andy_cordova@hotmail.com</t>
  </si>
  <si>
    <t xml:space="preserve">Wilson Beto</t>
  </si>
  <si>
    <t xml:space="preserve">zhungur@hotmail.com</t>
  </si>
  <si>
    <t xml:space="preserve">Se envía correo con información, se agenda nueva llamada </t>
  </si>
  <si>
    <t xml:space="preserve">Indica que está en proceso para sacar los documentos e iniciar homologación, se comunicará en el momento que ya los tenga  </t>
  </si>
  <si>
    <t xml:space="preserve">Carlos Brito</t>
  </si>
  <si>
    <t xml:space="preserve">cbritopinto@yahoo.com</t>
  </si>
  <si>
    <t xml:space="preserve">Monica Loor Paredes</t>
  </si>
  <si>
    <t xml:space="preserve">Diettogoec@hotmail.com</t>
  </si>
  <si>
    <t xml:space="preserve">Janina Raad Panezo</t>
  </si>
  <si>
    <t xml:space="preserve">johannaraad291@gmail.com</t>
  </si>
  <si>
    <t xml:space="preserve">Sandy Salvatierra</t>
  </si>
  <si>
    <t xml:space="preserve">sandysalvatierraholguin@yahoo.es</t>
  </si>
  <si>
    <t xml:space="preserve">Indica que está muy alto el semestre Online, y no tiene el presupuesto para tomar la carrera </t>
  </si>
  <si>
    <t xml:space="preserve">Christian Zambrano</t>
  </si>
  <si>
    <t xml:space="preserve">choclito1978@hotmail.com</t>
  </si>
  <si>
    <t xml:space="preserve">Se envía información al correo electrónico y se asesora, se agenda nueva llamada</t>
  </si>
  <si>
    <t xml:space="preserve">Vicky Andrade</t>
  </si>
  <si>
    <t xml:space="preserve">vickygadec_165@hotmail.com</t>
  </si>
  <si>
    <t xml:space="preserve">Se brinda toda la informacion y se realiza preinscripción en llamada</t>
  </si>
  <si>
    <t xml:space="preserve">Indica enviar documentos el dia miercoles 2 de enero</t>
  </si>
  <si>
    <t xml:space="preserve">Paul Guerrero</t>
  </si>
  <si>
    <t xml:space="preserve">pablomesias@yahoo.com</t>
  </si>
  <si>
    <t xml:space="preserve">Hendry Carlos Grefa Cerda</t>
  </si>
  <si>
    <t xml:space="preserve">henrypiscis1993@hotmail.com</t>
  </si>
  <si>
    <t xml:space="preserve">Archidona</t>
  </si>
  <si>
    <t xml:space="preserve">distancia</t>
  </si>
  <si>
    <t xml:space="preserve">Carlos Roldan</t>
  </si>
  <si>
    <t xml:space="preserve">carlrol@hotmail.com</t>
  </si>
  <si>
    <t xml:space="preserve">Indica que desea aplazar para marzo</t>
  </si>
  <si>
    <t xml:space="preserve">aplazado</t>
  </si>
  <si>
    <t xml:space="preserve">Marcelo Calderón</t>
  </si>
  <si>
    <t xml:space="preserve">marx-24@hotmail.com</t>
  </si>
  <si>
    <t xml:space="preserve">Patty Velasco Bastidas</t>
  </si>
  <si>
    <t xml:space="preserve">paty_kary25@hotmail.com</t>
  </si>
  <si>
    <t xml:space="preserve">Sindy Eduardo Zambrano Moreira</t>
  </si>
  <si>
    <t xml:space="preserve">eduardo220378@hotmail.com</t>
  </si>
  <si>
    <t xml:space="preserve">chone manabi</t>
  </si>
  <si>
    <t xml:space="preserve">contactada por WhatsApp</t>
  </si>
  <si>
    <t xml:space="preserve">Silvia Lorena Ramón</t>
  </si>
  <si>
    <t xml:space="preserve">siloraga@outlook.com</t>
  </si>
  <si>
    <t xml:space="preserve">Se envía malla curricular al correo, se agenda nueva llamada</t>
  </si>
  <si>
    <t xml:space="preserve">Ana Lucia Moncayo Lucero</t>
  </si>
  <si>
    <t xml:space="preserve">lucy28international@gmail.com</t>
  </si>
  <si>
    <t xml:space="preserve">Se brinda información y se envía correo,  se agenda nueva llamada</t>
  </si>
  <si>
    <t xml:space="preserve">Noslen Nalaug</t>
  </si>
  <si>
    <t xml:space="preserve">nelsonguala2503@gmail.com</t>
  </si>
  <si>
    <t xml:space="preserve">se envia informacionn por WhatsApp, ya que indica que al correo no le llego  </t>
  </si>
  <si>
    <t xml:space="preserve">Barahona Ricardo Allan</t>
  </si>
  <si>
    <t xml:space="preserve">leon_allan1@hotmail.com</t>
  </si>
  <si>
    <t xml:space="preserve">Se envía correo con información y se acercara directamente a la universidad</t>
  </si>
  <si>
    <t xml:space="preserve">Leta Soso</t>
  </si>
  <si>
    <t xml:space="preserve">lego_01@hotmail.com</t>
  </si>
  <si>
    <t xml:space="preserve">baños</t>
  </si>
  <si>
    <t xml:space="preserve">marketing</t>
  </si>
  <si>
    <t xml:space="preserve">Diego Tapia Núñez</t>
  </si>
  <si>
    <t xml:space="preserve">Indica que realizó maestría en año pasado, 2017, en el momento no se encuentra interesado  </t>
  </si>
  <si>
    <t xml:space="preserve">Yolanda Gómez Pinto</t>
  </si>
  <si>
    <t xml:space="preserve">ygp1608@gmail.com</t>
  </si>
  <si>
    <t xml:space="preserve">Lisbeth Peñafiel</t>
  </si>
  <si>
    <t xml:space="preserve">comgenitonce_2011@hotmail.com</t>
  </si>
  <si>
    <t xml:space="preserve">Oswaldo Munoz</t>
  </si>
  <si>
    <t xml:space="preserve">oswaldomw@yahoo.es</t>
  </si>
  <si>
    <t xml:space="preserve">indica que asistirá directamente a la universidad el 8 de enero</t>
  </si>
  <si>
    <t xml:space="preserve">Otto Vilela España</t>
  </si>
  <si>
    <t xml:space="preserve">otto-vilela@hotmail.com</t>
  </si>
  <si>
    <t xml:space="preserve">Estaba en el banco, se agenda nueva llamada</t>
  </si>
  <si>
    <t xml:space="preserve">Gioconda Granda</t>
  </si>
  <si>
    <t xml:space="preserve">giocogranda@hotmail.com</t>
  </si>
  <si>
    <t xml:space="preserve">Indica que asistirá directamente a la universidad el 5 de enero</t>
  </si>
  <si>
    <t xml:space="preserve">Geovanna Tamay</t>
  </si>
  <si>
    <t xml:space="preserve">geo_al18@hotmail.com</t>
  </si>
  <si>
    <t xml:space="preserve">Se encuentra interesada, pero está viendo opciones, indica comunicarse directamente </t>
  </si>
  <si>
    <t xml:space="preserve">Leydi Galarza Bonilla</t>
  </si>
  <si>
    <t xml:space="preserve">leyanin_g@yahoo.es</t>
  </si>
  <si>
    <t xml:space="preserve">Montalvo</t>
  </si>
  <si>
    <t xml:space="preserve">Jonathan David</t>
  </si>
  <si>
    <t xml:space="preserve">p.ortizjonathan@hotmail.com</t>
  </si>
  <si>
    <t xml:space="preserve">Vanessa Gallardo</t>
  </si>
  <si>
    <t xml:space="preserve">vane.g1@hotmail.com</t>
  </si>
  <si>
    <t xml:space="preserve">Estaba ocupada, se agenda nueva llamada para el dia miercoles 2 de enero </t>
  </si>
  <si>
    <t xml:space="preserve">Efren Cabezas</t>
  </si>
  <si>
    <t xml:space="preserve">efrencabezas@hotmail.com</t>
  </si>
  <si>
    <t xml:space="preserve">Jenny Astudillo</t>
  </si>
  <si>
    <t xml:space="preserve">jenyastudillo73@yahoo.es</t>
  </si>
  <si>
    <t xml:space="preserve">Atuntaqui</t>
  </si>
  <si>
    <t xml:space="preserve">Eri Amén</t>
  </si>
  <si>
    <t xml:space="preserve">eri_amen@hotmail.com</t>
  </si>
  <si>
    <t xml:space="preserve">Sandy Vistin</t>
  </si>
  <si>
    <t xml:space="preserve">sandyvistin@gmail.com</t>
  </si>
  <si>
    <t xml:space="preserve">Se brinda toda la asesoría y se indica numero del WhatsApp para estar en seguimiento  </t>
  </si>
  <si>
    <t xml:space="preserve">Andy Chiry</t>
  </si>
  <si>
    <t xml:space="preserve">andry_chiri@hotmail.com</t>
  </si>
  <si>
    <t xml:space="preserve">Se encuentra interesado, pero indica que esta mirando opciones </t>
  </si>
  <si>
    <t xml:space="preserve">Wilminton Jauregui Indio</t>
  </si>
  <si>
    <t xml:space="preserve">wilmintonjauregui@gmail.com</t>
  </si>
  <si>
    <t xml:space="preserve">guayaquil</t>
  </si>
  <si>
    <t xml:space="preserve">Por el momento solo deseaba la información, queda en comunicarse en caso de que desee iniciar el proceso </t>
  </si>
  <si>
    <t xml:space="preserve">Ine Paez</t>
  </si>
  <si>
    <t xml:space="preserve">inespaezherrera@hotmail.com</t>
  </si>
  <si>
    <t xml:space="preserve">linda Garcia</t>
  </si>
  <si>
    <t xml:space="preserve">merilythmai@hotmail.com.ar</t>
  </si>
  <si>
    <t xml:space="preserve">La Concordia</t>
  </si>
  <si>
    <t xml:space="preserve">Indica que asistirá directamente a la universidad a partir de Enero</t>
  </si>
  <si>
    <t xml:space="preserve">Carla García</t>
  </si>
  <si>
    <t xml:space="preserve">carlagarcia1411@hotmail.com</t>
  </si>
  <si>
    <t xml:space="preserve">Se brinda asesoría por WhatsApp  por llamada, indica que va a mirar otra universidad en Quito y quedará en comunicarse en el momento que desee tomar la licenciatura con nosotros </t>
  </si>
  <si>
    <t xml:space="preserve">licenciatura_en_comunicación</t>
  </si>
  <si>
    <t xml:space="preserve">Juan Fernando Andrade Cruz</t>
  </si>
  <si>
    <t xml:space="preserve">juanferrac@gmail.com</t>
  </si>
  <si>
    <t xml:space="preserve">Johnny Vera</t>
  </si>
  <si>
    <t xml:space="preserve">johnnyv_22@hotmail.com</t>
  </si>
  <si>
    <t xml:space="preserve">playas</t>
  </si>
  <si>
    <t xml:space="preserve">Juan Carlos Simbaña Guanochanga</t>
  </si>
  <si>
    <t xml:space="preserve">juancarlosguanochanga@outlook.es</t>
  </si>
  <si>
    <t xml:space="preserve">QUITO</t>
  </si>
  <si>
    <t xml:space="preserve">Marco Jumbo</t>
  </si>
  <si>
    <t xml:space="preserve">marcos-jumbo@hotmail.com</t>
  </si>
  <si>
    <t xml:space="preserve">Montecristi</t>
  </si>
  <si>
    <t xml:space="preserve">Mary Cundulle</t>
  </si>
  <si>
    <t xml:space="preserve">mary28araguillin@hotmail.com</t>
  </si>
  <si>
    <t xml:space="preserve">Se brinda asesoría y se envía malla curricular al WhatsApp</t>
  </si>
  <si>
    <t xml:space="preserve">Pauly Vs</t>
  </si>
  <si>
    <t xml:space="preserve">pauly-vs@hotmail.com</t>
  </si>
  <si>
    <t xml:space="preserve">Luis Franklin Minta Guallo</t>
  </si>
  <si>
    <t xml:space="preserve">luisminta58@gmail.com</t>
  </si>
  <si>
    <t xml:space="preserve">Marilyn Maritza Rendón Fierro</t>
  </si>
  <si>
    <t xml:space="preserve">marirendon77@yahoo.es</t>
  </si>
  <si>
    <t xml:space="preserve">Se brinda asesoría, queda en comunicarse en caso tal de que tome una decisión </t>
  </si>
  <si>
    <t xml:space="preserve">Xavier Banchon</t>
  </si>
  <si>
    <t xml:space="preserve">xbanchon@telconet.ec</t>
  </si>
  <si>
    <t xml:space="preserve">Mrabet Said</t>
  </si>
  <si>
    <t xml:space="preserve">saidoun.sm@gmail.com</t>
  </si>
  <si>
    <t xml:space="preserve">Xime Salazar</t>
  </si>
  <si>
    <t xml:space="preserve">xime1993-5@hotmail.com</t>
  </si>
  <si>
    <t xml:space="preserve">Carla Cueva</t>
  </si>
  <si>
    <t xml:space="preserve">cmcrjdvch1013@hotmail.com</t>
  </si>
  <si>
    <t xml:space="preserve">Luis Pérez</t>
  </si>
  <si>
    <t xml:space="preserve">lepz_2487@hotmail.com</t>
  </si>
  <si>
    <t xml:space="preserve">Deysi Meneses</t>
  </si>
  <si>
    <t xml:space="preserve">daysiluzuriaga2010@hotmail.com</t>
  </si>
  <si>
    <t xml:space="preserve">Joel Paladines</t>
  </si>
  <si>
    <t xml:space="preserve">ap_tj09@hotmail.com</t>
  </si>
  <si>
    <t xml:space="preserve">Pablo Fernando Jativa</t>
  </si>
  <si>
    <t xml:space="preserve">pablo.jativatex@gmail.com</t>
  </si>
  <si>
    <t xml:space="preserve">Se envía correo con información y se agenda nueva llamada </t>
  </si>
  <si>
    <t xml:space="preserve">Se asesora y se envía información al WhatsApp</t>
  </si>
  <si>
    <t xml:space="preserve">Se asesora por llamada, se envia mas informacion al WhatsApp y se realiza preinscripción </t>
  </si>
  <si>
    <t xml:space="preserve">Angeluz Heredia Sánchez</t>
  </si>
  <si>
    <t xml:space="preserve">mary92hs@hotmail.com</t>
  </si>
  <si>
    <t xml:space="preserve">Lue Pérez</t>
  </si>
  <si>
    <t xml:space="preserve">luis.perez2787@gmail.com</t>
  </si>
  <si>
    <t xml:space="preserve">Yesi Zambrano Cedeño</t>
  </si>
  <si>
    <t xml:space="preserve">Jessizamcede@gmail.com</t>
  </si>
  <si>
    <t xml:space="preserve">Freddy Reyes</t>
  </si>
  <si>
    <t xml:space="preserve">freddy0167@hotmail.com</t>
  </si>
  <si>
    <t xml:space="preserve">Alex Javier Franco Leon</t>
  </si>
  <si>
    <t xml:space="preserve">alex_majo2825@hotmail.es</t>
  </si>
  <si>
    <t xml:space="preserve">Se brinda asesoria, indica que asistirá directamente  a la Uteg </t>
  </si>
  <si>
    <t xml:space="preserve">Indica que ya se encuentra en un tecnologico </t>
  </si>
  <si>
    <t xml:space="preserve">Cesar Llerena</t>
  </si>
  <si>
    <t xml:space="preserve">mayces7677@hotmail.com</t>
  </si>
  <si>
    <t xml:space="preserve">Se envia correo con información y se agenda nueva llamada </t>
  </si>
  <si>
    <t xml:space="preserve">Se asesora, se encuentra muy interesado, se agenda nueva llamada para seguir con info </t>
  </si>
  <si>
    <t xml:space="preserve">Miguel Herrera Freire</t>
  </si>
  <si>
    <t xml:space="preserve">contesta, pero cuelga la llamada </t>
  </si>
  <si>
    <t xml:space="preserve">Samyta Pamu</t>
  </si>
  <si>
    <t xml:space="preserve">salo_betsy@hotmail.com</t>
  </si>
  <si>
    <t xml:space="preserve">Alfredo Toledo Vallejo</t>
  </si>
  <si>
    <t xml:space="preserve">najada2008@hotmail.com</t>
  </si>
  <si>
    <t xml:space="preserve">No  contesta</t>
  </si>
  <si>
    <t xml:space="preserve">Galo García</t>
  </si>
  <si>
    <t xml:space="preserve">gamaratl@yahoo.es</t>
  </si>
  <si>
    <t xml:space="preserve">Estaba en reunión, se agenda nueva llamada </t>
  </si>
  <si>
    <t xml:space="preserve">Karen Vanessa Cabrera Apolo</t>
  </si>
  <si>
    <t xml:space="preserve">kapelu_1991@hotmail.com</t>
  </si>
  <si>
    <t xml:space="preserve">Piñas</t>
  </si>
  <si>
    <t xml:space="preserve">Se brinda asesoría y se da informacion por WhatsApp</t>
  </si>
  <si>
    <t xml:space="preserve">Se asesora, indica que desea aplazar por ahora le queda complicado tomar la carrera </t>
  </si>
  <si>
    <t xml:space="preserve">Veronica Endara</t>
  </si>
  <si>
    <t xml:space="preserve">veroendara@msn.com</t>
  </si>
  <si>
    <t xml:space="preserve">Neni Kceres</t>
  </si>
  <si>
    <t xml:space="preserve">elenacaceresm@hotmail.com</t>
  </si>
  <si>
    <t xml:space="preserve">Daule</t>
  </si>
  <si>
    <t xml:space="preserve">Beatriz Arroyo</t>
  </si>
  <si>
    <t xml:space="preserve">arroyobea11@gmail.com</t>
  </si>
  <si>
    <t xml:space="preserve">Silvia Gordon</t>
  </si>
  <si>
    <t xml:space="preserve">comprasdintex@gmail.com</t>
  </si>
  <si>
    <t xml:space="preserve">Alexandra Bermeo</t>
  </si>
  <si>
    <t xml:space="preserve">beli.fb25@gmail.com</t>
  </si>
  <si>
    <t xml:space="preserve">Indica que no está interesada, ingreso mal los datos </t>
  </si>
  <si>
    <t xml:space="preserve">Alex Paul Catagña</t>
  </si>
  <si>
    <t xml:space="preserve">alexdj789@hotmail.com</t>
  </si>
  <si>
    <t xml:space="preserve">aida narvaez</t>
  </si>
  <si>
    <t xml:space="preserve">geminis.adns15@gmail.com</t>
  </si>
  <si>
    <t xml:space="preserve">Gabriela Cadena Mendoza</t>
  </si>
  <si>
    <t xml:space="preserve">gabriela.sergio.erika@hotmail.com</t>
  </si>
  <si>
    <t xml:space="preserve">Nelson Rizo</t>
  </si>
  <si>
    <t xml:space="preserve">dynelsonrizo@hotmail.com</t>
  </si>
  <si>
    <t xml:space="preserve">Quevedo</t>
  </si>
  <si>
    <t xml:space="preserve">Estaba viajando, o escuchaba muy bien , se agenda nueva llamada </t>
  </si>
  <si>
    <t xml:space="preserve">Ruby Flores</t>
  </si>
  <si>
    <t xml:space="preserve">ruby-cris1@hotmail.com</t>
  </si>
  <si>
    <t xml:space="preserve">No estaba, se deja mensaje con tercero </t>
  </si>
  <si>
    <t xml:space="preserve">Raquel Benitez</t>
  </si>
  <si>
    <t xml:space="preserve">marabepe@hotmail.com</t>
  </si>
  <si>
    <t xml:space="preserve">Janeth Rodríguez</t>
  </si>
  <si>
    <t xml:space="preserve">karen_peki06@hotmail.com</t>
  </si>
  <si>
    <t xml:space="preserve">Estaba en el trabajo, se agenda nueva llamada </t>
  </si>
  <si>
    <t xml:space="preserve">Diana Carvajal Rivas</t>
  </si>
  <si>
    <t xml:space="preserve">dianacarvajalcr@gmail.com</t>
  </si>
  <si>
    <t xml:space="preserve">Chone</t>
  </si>
  <si>
    <t xml:space="preserve">Belen torres Tierna</t>
  </si>
  <si>
    <t xml:space="preserve">maria-belen-14@hotmail.es</t>
  </si>
  <si>
    <t xml:space="preserve">brinda asesoría y se Se brinda asesoría al WhatsApp </t>
  </si>
  <si>
    <t xml:space="preserve">Se asesora y se envía información al correo </t>
  </si>
  <si>
    <t xml:space="preserve">Freddy Ortega</t>
  </si>
  <si>
    <t xml:space="preserve">fyortega@hotmail.com</t>
  </si>
  <si>
    <t xml:space="preserve">Gabriela Hernández</t>
  </si>
  <si>
    <t xml:space="preserve">gabistef05-29@hotmail.com</t>
  </si>
  <si>
    <t xml:space="preserve">Yimabel Fajardo</t>
  </si>
  <si>
    <t xml:space="preserve">Fajardoandrade0661@gmail.com</t>
  </si>
  <si>
    <t xml:space="preserve">Alejandra Bustillos</t>
  </si>
  <si>
    <t xml:space="preserve">Alejandra_2007b@hotmail.com</t>
  </si>
  <si>
    <t xml:space="preserve">Se brinda asesoría, se agenda nueva llamada </t>
  </si>
  <si>
    <t xml:space="preserve">Jajb Barreros</t>
  </si>
  <si>
    <t xml:space="preserve">rolandobrreros@gmail.com</t>
  </si>
  <si>
    <t xml:space="preserve">se envia informacionn informacion  al correo electrónico y se agenda nueva llamada </t>
  </si>
  <si>
    <t xml:space="preserve">Se envía nuevamente correo, se agenda nueva llamada para confirmar si le llego </t>
  </si>
  <si>
    <t xml:space="preserve">Jöëł JG</t>
  </si>
  <si>
    <t xml:space="preserve">nelgus1998@Outlook.es</t>
  </si>
  <si>
    <t xml:space="preserve">Indica que va asistir directamente a la universidad </t>
  </si>
  <si>
    <t xml:space="preserve">En el momento la situación económica no le da para ingresar a tomar  la carrera </t>
  </si>
  <si>
    <t xml:space="preserve">Loy RMelanie</t>
  </si>
  <si>
    <t xml:space="preserve">096 837 8442</t>
  </si>
  <si>
    <t xml:space="preserve">asistente@jflorabogados.com</t>
  </si>
  <si>
    <t xml:space="preserve">Se brinda toda la asesoría, y queda en comunicarse en caso tal de que tome alguna decisión </t>
  </si>
  <si>
    <t xml:space="preserve">Ivan cruz</t>
  </si>
  <si>
    <t xml:space="preserve">ivanjaviercruzyagual@gmail.com</t>
  </si>
  <si>
    <t xml:space="preserve">Se envia correo con informacion </t>
  </si>
  <si>
    <t xml:space="preserve">Pepe Fernandez</t>
  </si>
  <si>
    <t xml:space="preserve">fabianeos@hotmail.con</t>
  </si>
  <si>
    <t xml:space="preserve">Karen Contreras Macias</t>
  </si>
  <si>
    <t xml:space="preserve">karencon455@gmail.com</t>
  </si>
  <si>
    <t xml:space="preserve">Había interferencia en la llamada, se agenda una nueva </t>
  </si>
  <si>
    <t xml:space="preserve">Isabel Zambrano</t>
  </si>
  <si>
    <t xml:space="preserve">sara19zambrano@gmail.com</t>
  </si>
  <si>
    <t xml:space="preserve">Se asesora sobre la licenciatura, indica comunicarse en caso tal de que desee iniciar proceso </t>
  </si>
  <si>
    <t xml:space="preserve">Se asesora, indica comunicarse por WhatsApp </t>
  </si>
  <si>
    <t xml:space="preserve">ingenieria_en_software</t>
  </si>
  <si>
    <t xml:space="preserve">Juan Cantos</t>
  </si>
  <si>
    <t xml:space="preserve">Titocr2000@hotmail.com</t>
  </si>
  <si>
    <t xml:space="preserve">Mab Chin Cus Llag</t>
  </si>
  <si>
    <t xml:space="preserve">cinthiac25@hotmail.com</t>
  </si>
  <si>
    <t xml:space="preserve">Rosita Quilambaqui</t>
  </si>
  <si>
    <t xml:space="preserve">rosita.eqp15@gmail.com</t>
  </si>
  <si>
    <t xml:space="preserve">No hay número en el contacto, se envia la informacion al correo electrónico</t>
  </si>
  <si>
    <t xml:space="preserve">licenciatura_en_contabilidad_y_auditoria</t>
  </si>
  <si>
    <t xml:space="preserve">Claudia Rosario</t>
  </si>
  <si>
    <t xml:space="preserve">claudiarosario97@hotmail.com</t>
  </si>
  <si>
    <t xml:space="preserve">Viviana Cabrera</t>
  </si>
  <si>
    <t xml:space="preserve">vivicabrera_95@outlook.com</t>
  </si>
  <si>
    <t xml:space="preserve">Martha Salvatierra</t>
  </si>
  <si>
    <t xml:space="preserve">martha.sym@hotmail.es</t>
  </si>
  <si>
    <t xml:space="preserve">Inidca asistir directamente a la universidad </t>
  </si>
  <si>
    <t xml:space="preserve">Joseline Yugkcha</t>
  </si>
  <si>
    <t xml:space="preserve">joselinyugcha03@gmail.com</t>
  </si>
  <si>
    <t xml:space="preserve">pendiente-plataforma examen</t>
  </si>
  <si>
    <t xml:space="preserve">inscrita</t>
  </si>
  <si>
    <t xml:space="preserve">Karen Puing Pérez</t>
  </si>
  <si>
    <t xml:space="preserve">karenpuingp88@hotmail.com</t>
  </si>
  <si>
    <t xml:space="preserve">Mayi Di-la</t>
  </si>
  <si>
    <t xml:space="preserve">mayidioses2005@gmail.com</t>
  </si>
  <si>
    <t xml:space="preserve">En el momento indica que  no puede tomar la licenciatura </t>
  </si>
  <si>
    <t xml:space="preserve">Yessenia Stefanya Ordoñez</t>
  </si>
  <si>
    <t xml:space="preserve">Carolina.2704@hotmail.com</t>
  </si>
  <si>
    <t xml:space="preserve">Vane Reyes</t>
  </si>
  <si>
    <t xml:space="preserve">nadia-correa96@hotmail.com</t>
  </si>
  <si>
    <t xml:space="preserve">Lene Chávez</t>
  </si>
  <si>
    <t xml:space="preserve">Mailenechavez999@gmail.com</t>
  </si>
  <si>
    <t xml:space="preserve">Byron Bonilla</t>
  </si>
  <si>
    <t xml:space="preserve">byron_jr1993@hotmail.com</t>
  </si>
  <si>
    <t xml:space="preserve">Diego Onofre</t>
  </si>
  <si>
    <t xml:space="preserve">diegoonofre@live.com</t>
  </si>
  <si>
    <t xml:space="preserve">Ya reviso el correo enviado, se agenda nueva llamada para mirar si tiene alguna duda o desea iniciar proceso </t>
  </si>
  <si>
    <t xml:space="preserve">Verónica Hurtado Quiñonez</t>
  </si>
  <si>
    <t xml:space="preserve">katherine.hurtadoq@gmail.com</t>
  </si>
  <si>
    <t xml:space="preserve">No estaba, se agenda nueva llamada </t>
  </si>
  <si>
    <t xml:space="preserve">Andrea Viejò</t>
  </si>
  <si>
    <t xml:space="preserve">dre02na@hotmail.com</t>
  </si>
  <si>
    <t xml:space="preserve">Jadira Ramírez</t>
  </si>
  <si>
    <t xml:space="preserve">r_tita5@hotmail.com</t>
  </si>
  <si>
    <t xml:space="preserve">buzon de voz</t>
  </si>
  <si>
    <t xml:space="preserve">Mafer Zam</t>
  </si>
  <si>
    <t xml:space="preserve">Mafer.z.r_1985@hotmail.com</t>
  </si>
  <si>
    <t xml:space="preserve">Se agenda nueva llamada, estaba ocupada </t>
  </si>
  <si>
    <t xml:space="preserve">Se asesora y se envía información al Whatsapp</t>
  </si>
  <si>
    <t xml:space="preserve">Johanita España</t>
  </si>
  <si>
    <t xml:space="preserve">johanitaeli1994@hotmail.com</t>
  </si>
  <si>
    <t xml:space="preserve">buzon de voz </t>
  </si>
  <si>
    <t xml:space="preserve">Estaba ocupada, se envía información al WhatsApp</t>
  </si>
  <si>
    <t xml:space="preserve">Ana Maria Rodriguez Villalobos</t>
  </si>
  <si>
    <t xml:space="preserve">Se brinda información, indica que es para la hermana, se agenda nueva llamada para  mirar que ha pensado </t>
  </si>
  <si>
    <t xml:space="preserve">Elizabeth Zambrano</t>
  </si>
  <si>
    <t xml:space="preserve">Elizabet34@live.com</t>
  </si>
  <si>
    <t xml:space="preserve">Mariuxy Mendoza</t>
  </si>
  <si>
    <t xml:space="preserve">mariuxymendozaz@gmail.com</t>
  </si>
  <si>
    <t xml:space="preserve">Daniel V-m</t>
  </si>
  <si>
    <t xml:space="preserve">villamardaniel@yahoo.es</t>
  </si>
  <si>
    <t xml:space="preserve">volver a llamar </t>
  </si>
  <si>
    <t xml:space="preserve">Se envía correo con información, indica acercarse directamente a la universidad, se agenda nueva llamada para confirmar correo y mirar si se acercó</t>
  </si>
  <si>
    <t xml:space="preserve">Andreina Bermeo</t>
  </si>
  <si>
    <t xml:space="preserve">andreinabermeo_96@hotmail.com</t>
  </si>
  <si>
    <t xml:space="preserve">Anita Gabriela Anguisaca</t>
  </si>
  <si>
    <t xml:space="preserve">anitagaby1395@gmail.com</t>
  </si>
  <si>
    <t xml:space="preserve">Se brinda asesoría  y queda en contactarse en caso de que tenga alguna duda o desee iniciar proceso </t>
  </si>
  <si>
    <t xml:space="preserve">Alexa Meneses</t>
  </si>
  <si>
    <t xml:space="preserve">lurdes_menesesc@hotmail.com</t>
  </si>
  <si>
    <t xml:space="preserve">No ay contacto, se envía correo con información  </t>
  </si>
  <si>
    <t xml:space="preserve">Juan Carlos Anguisaca Guerrero</t>
  </si>
  <si>
    <t xml:space="preserve">juanjc13-18@hotmail.com</t>
  </si>
  <si>
    <t xml:space="preserve">Jocelhyn Cadena</t>
  </si>
  <si>
    <t xml:space="preserve">jossc2@outlook.es</t>
  </si>
  <si>
    <t xml:space="preserve">Karina Rea</t>
  </si>
  <si>
    <t xml:space="preserve">Indica que va directamente a la universidad, se agenda nueva llamada</t>
  </si>
  <si>
    <t xml:space="preserve">Se asesora y se agenda nueva llamada por que estaba en el trabajo</t>
  </si>
  <si>
    <t xml:space="preserve">Stephania Alexandra Duque Borja</t>
  </si>
  <si>
    <t xml:space="preserve">chinita.242010@hotmail.com</t>
  </si>
  <si>
    <t xml:space="preserve">Indica que va asistir directamente a la universidad el dia lunes 14 de enero a las 08:30 am </t>
  </si>
  <si>
    <t xml:space="preserve">Elvis Huilca</t>
  </si>
  <si>
    <t xml:space="preserve">elvishuilca.acn@gmail.com</t>
  </si>
  <si>
    <t xml:space="preserve">Se envía correo con información  y se agenda nueva llamada </t>
  </si>
  <si>
    <t xml:space="preserve">Virginie Flore Cita</t>
  </si>
  <si>
    <t xml:space="preserve">vrvillar_25@hotmail.com</t>
  </si>
  <si>
    <t xml:space="preserve">Pedrito García</t>
  </si>
  <si>
    <t xml:space="preserve">petermetal07@hotmail.com</t>
  </si>
  <si>
    <t xml:space="preserve">Andrea Rosario Riofrio</t>
  </si>
  <si>
    <t xml:space="preserve">a_sthefita19junio10@hotmail.com</t>
  </si>
  <si>
    <t xml:space="preserve">Se  brinda asesoría, y se procede a dar información por WhatsApp </t>
  </si>
  <si>
    <t xml:space="preserve">Robert Chavez</t>
  </si>
  <si>
    <t xml:space="preserve">sdcs2006@hotmail.com</t>
  </si>
  <si>
    <t xml:space="preserve">Se envía información al correo y se agenda nueva llamada para confirmar si llego </t>
  </si>
  <si>
    <t xml:space="preserve">No estaba, se agenda  nueva llamada </t>
  </si>
  <si>
    <t xml:space="preserve">Sara Vera</t>
  </si>
  <si>
    <t xml:space="preserve">verabarcos@hotmail.com</t>
  </si>
  <si>
    <t xml:space="preserve">Se brinda asesoría y se envia correo con información </t>
  </si>
  <si>
    <t xml:space="preserve">indica que la srta maria belen le indico que debia ingresar documentos con $50. se envia por whatsapp informacion correspondiente</t>
  </si>
  <si>
    <t xml:space="preserve">Se encuentra en otra universidad </t>
  </si>
  <si>
    <t xml:space="preserve">Nelida Ramírez</t>
  </si>
  <si>
    <t xml:space="preserve">nelwim27@hotmail.com</t>
  </si>
  <si>
    <t xml:space="preserve">Priscila Toaquiza</t>
  </si>
  <si>
    <t xml:space="preserve">mariapricila4466@gmail.com</t>
  </si>
  <si>
    <t xml:space="preserve">Ana Patricia Cedeño</t>
  </si>
  <si>
    <t xml:space="preserve">anapatricia9127@hotmail.com</t>
  </si>
  <si>
    <t xml:space="preserve">Diana España</t>
  </si>
  <si>
    <t xml:space="preserve">dianaespaa@yahoo.com</t>
  </si>
  <si>
    <t xml:space="preserve">No interesada por el momento </t>
  </si>
  <si>
    <t xml:space="preserve">Gabriella Lizbeth Moreira</t>
  </si>
  <si>
    <t xml:space="preserve">liz_gaby1718@hotmail.com</t>
  </si>
  <si>
    <t xml:space="preserve">Aleja Alb</t>
  </si>
  <si>
    <t xml:space="preserve">alejita_am@hotmail.com</t>
  </si>
  <si>
    <t xml:space="preserve">Armelia Salas Mendoza</t>
  </si>
  <si>
    <t xml:space="preserve">melissa_amely@hotmail.com</t>
  </si>
  <si>
    <t xml:space="preserve">había mucha interferencia, se agenda nueva llamada </t>
  </si>
  <si>
    <t xml:space="preserve">Jennifer Briones</t>
  </si>
  <si>
    <t xml:space="preserve">jennifer_briones94@hotmail.com</t>
  </si>
  <si>
    <t xml:space="preserve">MaryAngel's Alcivar Alcivar</t>
  </si>
  <si>
    <t xml:space="preserve">mariangelesalcivar@hotmail.com</t>
  </si>
  <si>
    <t xml:space="preserve">Paola Navarrete L</t>
  </si>
  <si>
    <t xml:space="preserve">penl2194@hotmail.com</t>
  </si>
  <si>
    <t xml:space="preserve">Indica que se le presentaron problemas personales, por eso ya no se encuentra interesada </t>
  </si>
  <si>
    <t xml:space="preserve">Bryan Lata Jimenez</t>
  </si>
  <si>
    <t xml:space="preserve">bryanlata@outlook.com</t>
  </si>
  <si>
    <t xml:space="preserve">se le brindo informacion solicitada y la direccion. Indica que en cuanto tenga tiempo acudira a las instalaciones</t>
  </si>
  <si>
    <t xml:space="preserve">Se asesora, indica que desea aplazar </t>
  </si>
  <si>
    <t xml:space="preserve">Francisco Rojas Figueroa</t>
  </si>
  <si>
    <t xml:space="preserve">francisco.rojas.f@gmail.com</t>
  </si>
  <si>
    <t xml:space="preserve">Patricia Giler Figueroa</t>
  </si>
  <si>
    <t xml:space="preserve">marypa28082013@hotmail.com</t>
  </si>
  <si>
    <t xml:space="preserve">Edwin Tomala</t>
  </si>
  <si>
    <t xml:space="preserve">edu_1967_03@hotmail.com</t>
  </si>
  <si>
    <t xml:space="preserve">Estaba en una reunión, se agenda nueva llamada </t>
  </si>
  <si>
    <t xml:space="preserve">se envia informacionn a su correo electronico</t>
  </si>
  <si>
    <t xml:space="preserve">Cristian Santiago Quisiguiña Poveda</t>
  </si>
  <si>
    <t xml:space="preserve">criskissi_81@outlook.es</t>
  </si>
  <si>
    <t xml:space="preserve">Karen Teffy Aguirre</t>
  </si>
  <si>
    <t xml:space="preserve">karen_2014aguirre@outlook.com</t>
  </si>
  <si>
    <t xml:space="preserve">Joselin Marmolejo</t>
  </si>
  <si>
    <t xml:space="preserve">jossmarmolejo96@hotmail.com</t>
  </si>
  <si>
    <t xml:space="preserve">Tatiana Quila A D Naranjo</t>
  </si>
  <si>
    <t xml:space="preserve">tatiyashley91@gmail.com</t>
  </si>
  <si>
    <t xml:space="preserve">Miguel Angel</t>
  </si>
  <si>
    <t xml:space="preserve">migaspecial2006@yahoo.es</t>
  </si>
  <si>
    <t xml:space="preserve">Diana Rodríguez</t>
  </si>
  <si>
    <t xml:space="preserve">dimarosa1986@gmail.com</t>
  </si>
  <si>
    <t xml:space="preserve">Victor Hache Chimbolema</t>
  </si>
  <si>
    <t xml:space="preserve">vchimbolema94@gmail.com</t>
  </si>
  <si>
    <t xml:space="preserve">Sarria Silva Lizeth Amalia</t>
  </si>
  <si>
    <t xml:space="preserve">lizeth1984col@gmail.com</t>
  </si>
  <si>
    <t xml:space="preserve">Indica asistir  directamente a la universidad</t>
  </si>
  <si>
    <t xml:space="preserve">no pudo, estuvo fuera del país. Indica que en el transcurso de la proxima semana se estará acercando ya que recién esta retomando su trabajo.</t>
  </si>
  <si>
    <t xml:space="preserve">Juan C. Romero Rodriguez</t>
  </si>
  <si>
    <t xml:space="preserve">jotacegato@hotmail.com</t>
  </si>
  <si>
    <t xml:space="preserve">Se brinda toda la información, se agenda nueva llamada, estaba ocupado </t>
  </si>
  <si>
    <t xml:space="preserve">Solorzano Valeria</t>
  </si>
  <si>
    <t xml:space="preserve">Valentinasolorzsno70@gmail.com</t>
  </si>
  <si>
    <t xml:space="preserve">Liss Mo</t>
  </si>
  <si>
    <t xml:space="preserve">leonelamendez@hotmail.com</t>
  </si>
  <si>
    <t xml:space="preserve">Se brinda asesoría, se escuchaba entrecortado, se vuelve a llamar y no contesta </t>
  </si>
  <si>
    <t xml:space="preserve">Paulo Bazan</t>
  </si>
  <si>
    <t xml:space="preserve">youpaulo@hotmail.es</t>
  </si>
  <si>
    <t xml:space="preserve">Ya se encuentra en otra universidad </t>
  </si>
  <si>
    <t xml:space="preserve">Diana Paguay</t>
  </si>
  <si>
    <t xml:space="preserve">wydadimenpag_@hotmail.com</t>
  </si>
  <si>
    <t xml:space="preserve">Irene Moran</t>
  </si>
  <si>
    <t xml:space="preserve">irenemoran2310@outlook.com</t>
  </si>
  <si>
    <t xml:space="preserve">Mariela Heras</t>
  </si>
  <si>
    <t xml:space="preserve">marielaheras0@gmail.com</t>
  </si>
  <si>
    <t xml:space="preserve">Jennifer Ivonne Quinto Carranza</t>
  </si>
  <si>
    <t xml:space="preserve">Jenivonn@gmail.com</t>
  </si>
  <si>
    <t xml:space="preserve">Se brinda asesoría, indica estar muy interesada, pero para dentro de uno o dos meses, se aplaza para tener comunicación con la srta mas adelante </t>
  </si>
  <si>
    <t xml:space="preserve">Janeth Mirella Villao</t>
  </si>
  <si>
    <t xml:space="preserve">joelasto476@gmail.com</t>
  </si>
  <si>
    <t xml:space="preserve">Se brinda asesoría, indica que desea pensar la información, y se comunicara directamente </t>
  </si>
  <si>
    <t xml:space="preserve">Jonathan Jeliroto</t>
  </si>
  <si>
    <t xml:space="preserve">jeliroto@hotmail.com</t>
  </si>
  <si>
    <t xml:space="preserve">Se envía correo con informacion, se agenda nueva llamada </t>
  </si>
  <si>
    <t xml:space="preserve">Miguel Angel Orellana Cruz</t>
  </si>
  <si>
    <t xml:space="preserve">miguel_orellana1984@hotmail.es</t>
  </si>
  <si>
    <t xml:space="preserve">Se agenda nueva llamada, estaba en el trabajo </t>
  </si>
  <si>
    <t xml:space="preserve">solicita informacion de todas las carreras, y valores</t>
  </si>
  <si>
    <t xml:space="preserve">Lily Julissa E Lino</t>
  </si>
  <si>
    <t xml:space="preserve">leyli2610@gmail.com</t>
  </si>
  <si>
    <t xml:space="preserve">Michelle</t>
  </si>
  <si>
    <t xml:space="preserve">michel028@hotmail.com</t>
  </si>
  <si>
    <t xml:space="preserve">Pide que se le envie informacion al correo electrónico.  </t>
  </si>
  <si>
    <t xml:space="preserve">Andy Javier</t>
  </si>
  <si>
    <t xml:space="preserve">andy961012@hotmail.com</t>
  </si>
  <si>
    <t xml:space="preserve">Julio Sapatanga</t>
  </si>
  <si>
    <t xml:space="preserve">shapa.1399@gmail.com</t>
  </si>
  <si>
    <t xml:space="preserve">Silvia Elizabeth</t>
  </si>
  <si>
    <t xml:space="preserve">silki1317@gmail.com</t>
  </si>
  <si>
    <t xml:space="preserve">Pide que se envie informacion por WhatsApp, y se hace seguimiento </t>
  </si>
  <si>
    <t xml:space="preserve">Se asesora por WhatsApp</t>
  </si>
  <si>
    <t xml:space="preserve">Geomara David</t>
  </si>
  <si>
    <t xml:space="preserve">rosidiablita_97_@hotmail.com</t>
  </si>
  <si>
    <t xml:space="preserve">Paty Del Rosario</t>
  </si>
  <si>
    <t xml:space="preserve">shirleydelrosario89@gmail.com</t>
  </si>
  <si>
    <t xml:space="preserve">Se envía malla curricular al correo electrónico, está averiguando precio en varias universidades </t>
  </si>
  <si>
    <t xml:space="preserve">Mariela EscalaNte</t>
  </si>
  <si>
    <t xml:space="preserve">maryes75@yahoo.com</t>
  </si>
  <si>
    <t xml:space="preserve">Se  brinda asesoría, queda en comunicarse cuando tenga disponibilidad </t>
  </si>
  <si>
    <t xml:space="preserve">se hablo con la mamá, aun debe conversar con la hija con respecto a los valores, se le dio la direccion de las instalaciones</t>
  </si>
  <si>
    <t xml:space="preserve">Gabriela Crespín</t>
  </si>
  <si>
    <t xml:space="preserve">zulygabyc22@gmail.com</t>
  </si>
  <si>
    <t xml:space="preserve">Fernanda Delgado</t>
  </si>
  <si>
    <t xml:space="preserve">delgadofernandiita@gmail.com</t>
  </si>
  <si>
    <t xml:space="preserve">Valdivieso Vinces Jeniffer</t>
  </si>
  <si>
    <t xml:space="preserve">jenifferg.vv@gmail.com</t>
  </si>
  <si>
    <t xml:space="preserve">Se brinda asesoria, solo estaba solicitando información, se comunicara cuando tenga la disponibilidad </t>
  </si>
  <si>
    <t xml:space="preserve">solo solicito informacion</t>
  </si>
  <si>
    <t xml:space="preserve">Karen Loor</t>
  </si>
  <si>
    <t xml:space="preserve">karenydilan1904@gmail.com</t>
  </si>
  <si>
    <t xml:space="preserve">Se brinda asesoría, y queda en comunicarse cuando tenga dudas o tenga ya la disponibilidad de iniciar el proceso </t>
  </si>
  <si>
    <t xml:space="preserve">indica que ya le dijo al chico por whatsapp que no va a ingresar porque esta pagando un credito y no le alcanza, ella se estará contactando cuando tenga disponibilidad economica</t>
  </si>
  <si>
    <t xml:space="preserve">Karen GRomero</t>
  </si>
  <si>
    <t xml:space="preserve">viviangor93@hotmail.com</t>
  </si>
  <si>
    <t xml:space="preserve">Vilma Ramírez Proaño</t>
  </si>
  <si>
    <t xml:space="preserve">varpmiel@hotmail.com</t>
  </si>
  <si>
    <t xml:space="preserve">Leady Miranda</t>
  </si>
  <si>
    <t xml:space="preserve">leady_m1996@live.com</t>
  </si>
  <si>
    <t xml:space="preserve">Carmen Torres</t>
  </si>
  <si>
    <t xml:space="preserve">ctorrescevallos_16@hotmail.com</t>
  </si>
  <si>
    <t xml:space="preserve">CastAgua Gemy</t>
  </si>
  <si>
    <t xml:space="preserve">gema09cast@hotmail.com</t>
  </si>
  <si>
    <t xml:space="preserve">se brinda asesoria, queda en comunicarse directamente</t>
  </si>
  <si>
    <t xml:space="preserve">queda en visitar instalaciones</t>
  </si>
  <si>
    <t xml:space="preserve">Gonzales Aurora Kiara</t>
  </si>
  <si>
    <t xml:space="preserve">claraauroragonzales@gmail.com</t>
  </si>
  <si>
    <t xml:space="preserve">Katiuska Mantilla</t>
  </si>
  <si>
    <t xml:space="preserve">mantillaingrid@yahoo.es</t>
  </si>
  <si>
    <t xml:space="preserve">Yaya Serrano</t>
  </si>
  <si>
    <t xml:space="preserve">yayitap_14@hotmail.com</t>
  </si>
  <si>
    <t xml:space="preserve">iliana vargas vera</t>
  </si>
  <si>
    <t xml:space="preserve">viliana1989@hotmail.es</t>
  </si>
  <si>
    <t xml:space="preserve">Se envía información al correo electrónico, desea ingresar por homologación, se agenda nueva llamada para confirmar correo </t>
  </si>
  <si>
    <t xml:space="preserve">visita universidad (pendiente entrega requisitos)</t>
  </si>
  <si>
    <t xml:space="preserve">Yadira Moreira</t>
  </si>
  <si>
    <t xml:space="preserve">nohemymoreira@gmail.com</t>
  </si>
  <si>
    <t xml:space="preserve">Alisson Gallegos</t>
  </si>
  <si>
    <t xml:space="preserve">gallegosalisson28@gmail.com</t>
  </si>
  <si>
    <t xml:space="preserve">Interesada en la carrera de medicina</t>
  </si>
  <si>
    <t xml:space="preserve">Gabrielle Moreira</t>
  </si>
  <si>
    <t xml:space="preserve">gaby199854@live.com</t>
  </si>
  <si>
    <t xml:space="preserve">Ximena Verdezoto Zuñiga</t>
  </si>
  <si>
    <t xml:space="preserve">ximenaelizabethv@gmail.com</t>
  </si>
  <si>
    <t xml:space="preserve">Rosa Arnao</t>
  </si>
  <si>
    <t xml:space="preserve">rosaarnaobla@hotmail.com</t>
  </si>
  <si>
    <t xml:space="preserve">Pide que se envie informacion al correo electrónico, se agenda nueva llamada </t>
  </si>
  <si>
    <t xml:space="preserve">apagado</t>
  </si>
  <si>
    <t xml:space="preserve">MJ Rosero Murillo</t>
  </si>
  <si>
    <t xml:space="preserve">amy_mibebe@hotmail.com</t>
  </si>
  <si>
    <t xml:space="preserve">Contesto la llamada,se dio asesoría pero no dio más respuesta </t>
  </si>
  <si>
    <t xml:space="preserve">al momento esta de viaje, desea ser contactada mas adelante</t>
  </si>
  <si>
    <t xml:space="preserve">Ricardo Suárez Rodríguez</t>
  </si>
  <si>
    <t xml:space="preserve">ricardosuarezrodriguez@gmail.com</t>
  </si>
  <si>
    <t xml:space="preserve">Sandrita Guaicha</t>
  </si>
  <si>
    <t xml:space="preserve">sandy-g21@hotmail.com</t>
  </si>
  <si>
    <t xml:space="preserve">Estaba conduciendo, se agenda nueva llamada </t>
  </si>
  <si>
    <t xml:space="preserve">se llamo, se envía por correo informacion detallada</t>
  </si>
  <si>
    <t xml:space="preserve">Luis Gonzalez Medranda</t>
  </si>
  <si>
    <t xml:space="preserve">luisgonzales_1977@hotmail.com</t>
  </si>
  <si>
    <t xml:space="preserve">Se brinda asesoría, se agenda nueva llamada para mirar si desea iniciar proceso </t>
  </si>
  <si>
    <t xml:space="preserve">Janeth Lorena Quishpe Moreira</t>
  </si>
  <si>
    <t xml:space="preserve">mkt_janethquishpe_81@hotmail.com</t>
  </si>
  <si>
    <t xml:space="preserve">Jessica Sanchez Velasquez</t>
  </si>
  <si>
    <t xml:space="preserve">j-s-1005@hotmail.com</t>
  </si>
  <si>
    <t xml:space="preserve">Yaritza Caicedo</t>
  </si>
  <si>
    <t xml:space="preserve">yaritzacaicedo94@gmail.com</t>
  </si>
  <si>
    <t xml:space="preserve">Se brinda información, se brinda numero de WhatsApp, indica dar respuesta por ese medio </t>
  </si>
  <si>
    <t xml:space="preserve">Roxana Guaman</t>
  </si>
  <si>
    <t xml:space="preserve">roxely1992@hotmail.com</t>
  </si>
  <si>
    <t xml:space="preserve">gabriela nathaly mariscal palacios</t>
  </si>
  <si>
    <t xml:space="preserve">nathalymp@hotmail.com</t>
  </si>
  <si>
    <t xml:space="preserve">Se brinda toda la asesoría, se agenda nueva llamada para mirar si desea iniciar proceso  </t>
  </si>
  <si>
    <t xml:space="preserve">Made Suarez</t>
  </si>
  <si>
    <t xml:space="preserve">madesuarezss@gmail.com</t>
  </si>
  <si>
    <t xml:space="preserve">Andrea Flores Marín</t>
  </si>
  <si>
    <t xml:space="preserve">afma79@hotmail.com</t>
  </si>
  <si>
    <t xml:space="preserve">Andreabsc CCayetano</t>
  </si>
  <si>
    <t xml:space="preserve">andrea__kitty@hotmail.com</t>
  </si>
  <si>
    <t xml:space="preserve">Mary Paris</t>
  </si>
  <si>
    <t xml:space="preserve">mariaeliza79@hotmail.com</t>
  </si>
  <si>
    <t xml:space="preserve">Se agenda nueva llamada, es para el hijo y no se encontraba </t>
  </si>
  <si>
    <t xml:space="preserve">Se envía correo con información se agenda nueva llamada para confirmar si  va a iniciar proceso </t>
  </si>
  <si>
    <t xml:space="preserve">Verito Robi Q</t>
  </si>
  <si>
    <t xml:space="preserve">veritorobiquinto@gmail.com</t>
  </si>
  <si>
    <t xml:space="preserve">Elizabeth Melendez</t>
  </si>
  <si>
    <t xml:space="preserve">elizabethmelendezcamino2018@gmail.com</t>
  </si>
  <si>
    <t xml:space="preserve">Lucy Tapia Cedeño</t>
  </si>
  <si>
    <t xml:space="preserve">Luztapia1996@outlook.es</t>
  </si>
  <si>
    <t xml:space="preserve">Wilson Love Llanga Pinto</t>
  </si>
  <si>
    <t xml:space="preserve">wilsonllangapinto@gmail.com</t>
  </si>
  <si>
    <t xml:space="preserve">esta interesado para la esposa, se envía información al WhatsApp para enseñarsela  a la srta </t>
  </si>
  <si>
    <t xml:space="preserve">Interesado para un tercero</t>
  </si>
  <si>
    <t xml:space="preserve">Mercy sabando</t>
  </si>
  <si>
    <t xml:space="preserve">mersava1@hotmail.com</t>
  </si>
  <si>
    <t xml:space="preserve">Juanki JG</t>
  </si>
  <si>
    <t xml:space="preserve">Juan88grefa@gmail.com</t>
  </si>
  <si>
    <t xml:space="preserve">Carlos Piña</t>
  </si>
  <si>
    <t xml:space="preserve">pina1988carlos@gmail.com</t>
  </si>
  <si>
    <t xml:space="preserve">Paola Chila</t>
  </si>
  <si>
    <t xml:space="preserve">paodel96@hotmail.com</t>
  </si>
  <si>
    <t xml:space="preserve">Lily Alexa</t>
  </si>
  <si>
    <t xml:space="preserve">lily14bryalexa28@gmail.com</t>
  </si>
  <si>
    <t xml:space="preserve">Darwin Loor</t>
  </si>
  <si>
    <t xml:space="preserve">darwinloor2014@gmail.com</t>
  </si>
  <si>
    <t xml:space="preserve">Zobeida Cabrera</t>
  </si>
  <si>
    <t xml:space="preserve">piolinazobe_solitaria@hotmail.com</t>
  </si>
  <si>
    <t xml:space="preserve">Vanessa Jácome</t>
  </si>
  <si>
    <t xml:space="preserve">vanessajacome1907@gmail.com</t>
  </si>
  <si>
    <t xml:space="preserve">Maritza Saltos</t>
  </si>
  <si>
    <t xml:space="preserve">msaltos@maxitel.ec</t>
  </si>
  <si>
    <t xml:space="preserve">Luis Alberto Aveiga Loor</t>
  </si>
  <si>
    <t xml:space="preserve">laveiga1979@hotmail.com</t>
  </si>
  <si>
    <t xml:space="preserve">Karla Gurumendi</t>
  </si>
  <si>
    <t xml:space="preserve">karlaguru21@gmail.com</t>
  </si>
  <si>
    <t xml:space="preserve">Se brinda información, indica que desea asistir directamente  a la universidad a recibir más información </t>
  </si>
  <si>
    <t xml:space="preserve">May R. Guerrero</t>
  </si>
  <si>
    <t xml:space="preserve">cpavanessaguerrero.2010@gmail.com</t>
  </si>
  <si>
    <t xml:space="preserve">Andrea Davila</t>
  </si>
  <si>
    <t xml:space="preserve">andrea.davila.0803@gmail.com</t>
  </si>
  <si>
    <t xml:space="preserve">Se envía correo con información, se agenda  nueva llamada</t>
  </si>
  <si>
    <t xml:space="preserve">Karlita Angelica Naranjo Salavarria</t>
  </si>
  <si>
    <t xml:space="preserve">karlawinalite17@gmail.com</t>
  </si>
  <si>
    <t xml:space="preserve">Jessika Guapi</t>
  </si>
  <si>
    <t xml:space="preserve">jessicaguapi_16@hotmail.com</t>
  </si>
  <si>
    <t xml:space="preserve">Se brinda toda la asesoría, se agenda nueva llamada</t>
  </si>
  <si>
    <t xml:space="preserve">Andrea Soto</t>
  </si>
  <si>
    <t xml:space="preserve">andreacarolina_0492@hotmail.com</t>
  </si>
  <si>
    <t xml:space="preserve">Estaba trabajando, se agenda nueva llamada </t>
  </si>
  <si>
    <t xml:space="preserve">Jonathan Pincay</t>
  </si>
  <si>
    <t xml:space="preserve">j_pincay_v@hotmail.com</t>
  </si>
  <si>
    <t xml:space="preserve">Se agenda nueva llamada, estaba en reunión  </t>
  </si>
  <si>
    <t xml:space="preserve">Yulexi Andrea</t>
  </si>
  <si>
    <t xml:space="preserve">yulexi_ang_@hotmail.es</t>
  </si>
  <si>
    <t xml:space="preserve">Estaba manejando, se agenda nueva llamada</t>
  </si>
  <si>
    <t xml:space="preserve">Juan Carlos Merino Gaibor</t>
  </si>
  <si>
    <t xml:space="preserve">jc_mega23@hotmail.com</t>
  </si>
  <si>
    <t xml:space="preserve">Se envía información al correo, se agenda nueva llamada para confirmar correo </t>
  </si>
  <si>
    <t xml:space="preserve">Tatiana Vidal</t>
  </si>
  <si>
    <t xml:space="preserve">taty_vipromero@hotmail.com</t>
  </si>
  <si>
    <t xml:space="preserve">Melch Loza</t>
  </si>
  <si>
    <t xml:space="preserve">melch255@yahoo.es</t>
  </si>
  <si>
    <t xml:space="preserve">Banchon Angie</t>
  </si>
  <si>
    <t xml:space="preserve">mac_daysa@hotmail.com</t>
  </si>
  <si>
    <t xml:space="preserve">Se brinda asesoría, se comunicara cuando desee tomar la carrera </t>
  </si>
  <si>
    <t xml:space="preserve">Nory Larrosa</t>
  </si>
  <si>
    <t xml:space="preserve">tumamibella1983@gmail.com</t>
  </si>
  <si>
    <t xml:space="preserve">Gabriel Alejandro</t>
  </si>
  <si>
    <t xml:space="preserve">Antonio Enrique Pinargote Zambrano</t>
  </si>
  <si>
    <t xml:space="preserve">anthony_pinargote91@hotmail.com</t>
  </si>
  <si>
    <t xml:space="preserve">Se brinda asesoría, se agenda nueva llamada para mirar si pudo coordinar el horario en el trabajo y poder tomar la ingeniería  </t>
  </si>
  <si>
    <t xml:space="preserve">Gabriel Parreño Rivas</t>
  </si>
  <si>
    <t xml:space="preserve">gaboparreno33@gmail.com</t>
  </si>
  <si>
    <t xml:space="preserve">Se brinda asesoría y se deja mensaje al WhatsApp para estar en seguimiento </t>
  </si>
  <si>
    <t xml:space="preserve">Roberto Concha Tello</t>
  </si>
  <si>
    <t xml:space="preserve">robertoconchat04@gmail.com</t>
  </si>
  <si>
    <t xml:space="preserve">se envia correo con informacion y se agenda nueva llamada para confirmar correo</t>
  </si>
  <si>
    <t xml:space="preserve">Galo Fernando Alvarado Sinche</t>
  </si>
  <si>
    <t xml:space="preserve">galvarado1816@hotmail.com</t>
  </si>
  <si>
    <t xml:space="preserve">Belen Lopez</t>
  </si>
  <si>
    <t xml:space="preserve">belen.lopez21@outlook.es</t>
  </si>
  <si>
    <t xml:space="preserve">Carlos Julio Rondoy</t>
  </si>
  <si>
    <t xml:space="preserve">cjrs_rondoy@hotmail.com</t>
  </si>
  <si>
    <t xml:space="preserve">estaba interesado en estudiar una ingeniería pero a distancia </t>
  </si>
  <si>
    <t xml:space="preserve">Lilibeth Anais Moran Ortega</t>
  </si>
  <si>
    <t xml:space="preserve">lilibeth-5678@hotmail.com</t>
  </si>
  <si>
    <t xml:space="preserve">Ysrael Kjpe</t>
  </si>
  <si>
    <t xml:space="preserve">david_ysrael92@hotmail.com</t>
  </si>
  <si>
    <t xml:space="preserve">indica asistir directamente a la universidad el día lunes 21 de enero </t>
  </si>
  <si>
    <t xml:space="preserve">ingenieria_en_telecomunicaciones</t>
  </si>
  <si>
    <t xml:space="preserve">Luis Antony Varela</t>
  </si>
  <si>
    <t xml:space="preserve">greenvra1@hotmail.com</t>
  </si>
  <si>
    <t xml:space="preserve">Joel arturo chipre bajaña</t>
  </si>
  <si>
    <t xml:space="preserve">joelchipre@gmail.com</t>
  </si>
  <si>
    <t xml:space="preserve">Jefferson Desiderio</t>
  </si>
  <si>
    <t xml:space="preserve">jefferson.desiderio19@outlook.com</t>
  </si>
  <si>
    <t xml:space="preserve">Nicolás Iván Rosales Valera</t>
  </si>
  <si>
    <t xml:space="preserve">zarnikolaiiv@gmail.com</t>
  </si>
  <si>
    <t xml:space="preserve">Se brinda toda la asesoría, se agenda nueva llamada </t>
  </si>
  <si>
    <t xml:space="preserve">Anthony Saul Morales Cabrera</t>
  </si>
  <si>
    <t xml:space="preserve">saul.morales98@hotmail.cpm</t>
  </si>
  <si>
    <t xml:space="preserve">Henrry Arcos</t>
  </si>
  <si>
    <t xml:space="preserve">harcoscortez@gmail.com</t>
  </si>
  <si>
    <t xml:space="preserve">Antonella Macmendoza</t>
  </si>
  <si>
    <t xml:space="preserve">anto_nella932013@hotmail.com</t>
  </si>
  <si>
    <t xml:space="preserve">Marco Roman</t>
  </si>
  <si>
    <t xml:space="preserve">marco.roman2005@hotmail.com</t>
  </si>
  <si>
    <t xml:space="preserve">Wilson Zambrano</t>
  </si>
  <si>
    <t xml:space="preserve">wfzs@hotmail.com</t>
  </si>
  <si>
    <t xml:space="preserve">Julia Gordon</t>
  </si>
  <si>
    <t xml:space="preserve">julygordon12@yahoo.com</t>
  </si>
  <si>
    <t xml:space="preserve">Stefany Figueroa</t>
  </si>
  <si>
    <t xml:space="preserve">mayrafigueroanapa@hotmail.com</t>
  </si>
  <si>
    <t xml:space="preserve">Diego Aldeán</t>
  </si>
  <si>
    <t xml:space="preserve">diegoaldean@hotmail.com</t>
  </si>
  <si>
    <t xml:space="preserve">Geovanni Andi</t>
  </si>
  <si>
    <t xml:space="preserve">alvaroandi5@gmail.com</t>
  </si>
  <si>
    <t xml:space="preserve">Se brinda información, se envían requisitos de inscripción  y nuevamente la información detallada </t>
  </si>
  <si>
    <t xml:space="preserve">Nadia Rivadeneira Rumazo</t>
  </si>
  <si>
    <t xml:space="preserve">nadiarivadeneira2707@hotmail.com</t>
  </si>
  <si>
    <t xml:space="preserve">Jonathan Rodriguez Tomala</t>
  </si>
  <si>
    <t xml:space="preserve">Se brinda toda la asesoría, se agenda nueva llamada para mirar si va a realizar proceso de inscripción  </t>
  </si>
  <si>
    <t xml:space="preserve">Jacqueline Escobar</t>
  </si>
  <si>
    <t xml:space="preserve">jcescobarescobar@gmail.com</t>
  </si>
  <si>
    <t xml:space="preserve">Saida Marilu Cango</t>
  </si>
  <si>
    <t xml:space="preserve">saidimoni@hotmail.com</t>
  </si>
  <si>
    <t xml:space="preserve">Espinoza Narcisa</t>
  </si>
  <si>
    <t xml:space="preserve">espinozazavalanarcisa@gmail.com</t>
  </si>
  <si>
    <t xml:space="preserve">Stephany Delgado Rodriguez</t>
  </si>
  <si>
    <t xml:space="preserve">nenatefy95@gmail.com</t>
  </si>
  <si>
    <t xml:space="preserve">va a mirar toda la información, se agenda nueva llamada</t>
  </si>
  <si>
    <t xml:space="preserve">karla chinchay</t>
  </si>
  <si>
    <t xml:space="preserve">karla18chinchay@gmail.com</t>
  </si>
  <si>
    <t xml:space="preserve">edison steven</t>
  </si>
  <si>
    <t xml:space="preserve">stevensp15@hotmail.com</t>
  </si>
  <si>
    <t xml:space="preserve">Jose JS Sagbay</t>
  </si>
  <si>
    <t xml:space="preserve">jssagbay11@gmail.com</t>
  </si>
  <si>
    <t xml:space="preserve">Maricela Jaramillo</t>
  </si>
  <si>
    <t xml:space="preserve">maricela3009@hotmail.es</t>
  </si>
  <si>
    <t xml:space="preserve">Jessica María Proaño Aguilar</t>
  </si>
  <si>
    <t xml:space="preserve">maribelvalle1979@gmail.com</t>
  </si>
  <si>
    <t xml:space="preserve">Indica que desea decirle toda la información al esposo, se agenda nueva llamada </t>
  </si>
  <si>
    <t xml:space="preserve">Karen Choez</t>
  </si>
  <si>
    <t xml:space="preserve">karen-vanessa1996@hotmail.com</t>
  </si>
  <si>
    <t xml:space="preserve">Se brinda asesoría, se agenda nueva llamada para mirar qué ha pensado</t>
  </si>
  <si>
    <t xml:space="preserve">Anthoni Daniel Muñoz</t>
  </si>
  <si>
    <t xml:space="preserve">anthonidaniel12@hotmail.com</t>
  </si>
  <si>
    <t xml:space="preserve">Yois Portilla</t>
  </si>
  <si>
    <t xml:space="preserve">johanna_portilla1987@hotmail.com</t>
  </si>
  <si>
    <t xml:space="preserve">Victor Pilco</t>
  </si>
  <si>
    <t xml:space="preserve">victorpilcogavilan95@hotmail.com</t>
  </si>
  <si>
    <t xml:space="preserve">Se agenda nueva llamada para mira si desea iniciar proceso </t>
  </si>
  <si>
    <t xml:space="preserve">Joselin Meby Rosero Cedeño</t>
  </si>
  <si>
    <t xml:space="preserve">prettygirl092@hotmail.com</t>
  </si>
  <si>
    <t xml:space="preserve">Fernando Contreras</t>
  </si>
  <si>
    <t xml:space="preserve">domanfer2000@gmail.com</t>
  </si>
  <si>
    <t xml:space="preserve">Carlos Alberto Espinoza Velastegui</t>
  </si>
  <si>
    <t xml:space="preserve">charly271973@hotmail.com</t>
  </si>
  <si>
    <t xml:space="preserve">Skinny Delgado</t>
  </si>
  <si>
    <t xml:space="preserve">judiith.17@outlook.com</t>
  </si>
  <si>
    <t xml:space="preserve">Cecilia Hermenegildo Villon</t>
  </si>
  <si>
    <t xml:space="preserve">cecily_hv@yahoo.com</t>
  </si>
  <si>
    <t xml:space="preserve">Adan Torres</t>
  </si>
  <si>
    <t xml:space="preserve">adanjorge@hotmail.com</t>
  </si>
  <si>
    <t xml:space="preserve">Jhoancito Banchon</t>
  </si>
  <si>
    <t xml:space="preserve">juanbanchonf2018@gmail.com</t>
  </si>
  <si>
    <t xml:space="preserve">Michelle Chavez Mejia</t>
  </si>
  <si>
    <t xml:space="preserve">michechave@hotmail.com</t>
  </si>
  <si>
    <t xml:space="preserve">Se brinda información, se agenda nueva llamada para mirar si va a tomar la carrera </t>
  </si>
  <si>
    <t xml:space="preserve">Adriana López</t>
  </si>
  <si>
    <t xml:space="preserve">adrian10barcelona@outlook.com</t>
  </si>
  <si>
    <t xml:space="preserve">Angiie Loor</t>
  </si>
  <si>
    <t xml:space="preserve">angieloorb06@hotmail.com</t>
  </si>
  <si>
    <t xml:space="preserve">Indica que termina el colegio en marzo, para esa fecha desea aplazar</t>
  </si>
  <si>
    <t xml:space="preserve">Angie Vera</t>
  </si>
  <si>
    <t xml:space="preserve">angie99vera@gmail.com</t>
  </si>
  <si>
    <t xml:space="preserve">Se brinda toda la información, se agenda nueva llamada </t>
  </si>
  <si>
    <t xml:space="preserve">Micho Batallas</t>
  </si>
  <si>
    <t xml:space="preserve">mgbatallas@hotmail.com</t>
  </si>
  <si>
    <t xml:space="preserve">Se brinda asesoria, estaba ocupada, se agenda nueva llamada</t>
  </si>
  <si>
    <t xml:space="preserve">Jerry JP</t>
  </si>
  <si>
    <t xml:space="preserve">Punin_17@Outlook.com</t>
  </si>
  <si>
    <t xml:space="preserve">Melany Garcia</t>
  </si>
  <si>
    <t xml:space="preserve">melanygar200@gmail.com</t>
  </si>
  <si>
    <t xml:space="preserve">Andres Villegas</t>
  </si>
  <si>
    <t xml:space="preserve">andresvillegas06@outlook.com</t>
  </si>
  <si>
    <t xml:space="preserve">Danny Sacoto</t>
  </si>
  <si>
    <t xml:space="preserve">daniela.sacoto@ucuenca.ec</t>
  </si>
  <si>
    <t xml:space="preserve">Gabriel Santana</t>
  </si>
  <si>
    <t xml:space="preserve">lisbeth.coello2015@gmail.com</t>
  </si>
  <si>
    <t xml:space="preserve">Mischell Garces</t>
  </si>
  <si>
    <t xml:space="preserve">mischell-19@hotmail.com</t>
  </si>
  <si>
    <t xml:space="preserve">Oscar Ledesma</t>
  </si>
  <si>
    <t xml:space="preserve">protector_ivan69@hotmail.com</t>
  </si>
  <si>
    <t xml:space="preserve">Carlos Briones Lopez</t>
  </si>
  <si>
    <t xml:space="preserve">carlosbri0018@gmail.com</t>
  </si>
  <si>
    <t xml:space="preserve">Kevin Solorzano</t>
  </si>
  <si>
    <t xml:space="preserve">kevin97solorzano@hotmail.com</t>
  </si>
  <si>
    <t xml:space="preserve">Marianela</t>
  </si>
  <si>
    <t xml:space="preserve">lis2perezparraga@hotmail.com</t>
  </si>
  <si>
    <t xml:space="preserve">Numero equivocado</t>
  </si>
  <si>
    <t xml:space="preserve">Lizbeth Bajaña</t>
  </si>
  <si>
    <t xml:space="preserve">lizbeth-1901@hotmail.com</t>
  </si>
  <si>
    <t xml:space="preserve">Angie JP Hernandez</t>
  </si>
  <si>
    <t xml:space="preserve">jamihernandez99@gmail.com</t>
  </si>
  <si>
    <t xml:space="preserve">Se asesora, se agenda nueva llamada para mirar si desea iniciar proceso </t>
  </si>
  <si>
    <t xml:space="preserve">Stefanny Gabriela Navarro Lopez</t>
  </si>
  <si>
    <t xml:space="preserve">stefy060390@hotmail.com</t>
  </si>
  <si>
    <t xml:space="preserve">Roberto García Cruz</t>
  </si>
  <si>
    <t xml:space="preserve">robergarcia10@hotmail.com</t>
  </si>
  <si>
    <t xml:space="preserve">Se brinda informacion, se envia correo, desea ingresar por homologación, se agenda nueva llamada para confirmar correo </t>
  </si>
  <si>
    <t xml:space="preserve">pendiente entrega de documentación</t>
  </si>
  <si>
    <t xml:space="preserve">Dayanna Rojas Espinoza</t>
  </si>
  <si>
    <t xml:space="preserve">dayannarojas1925@hotmail.com</t>
  </si>
  <si>
    <t xml:space="preserve">Elsa Roxi</t>
  </si>
  <si>
    <t xml:space="preserve">e.roxana-1997@hotmail.com</t>
  </si>
  <si>
    <t xml:space="preserve">Alejandra Mera Ponce</t>
  </si>
  <si>
    <t xml:space="preserve">alejandram96@outlook.es</t>
  </si>
  <si>
    <t xml:space="preserve">Diana Jimenez</t>
  </si>
  <si>
    <t xml:space="preserve">dianalisseth04@outlook.com</t>
  </si>
  <si>
    <t xml:space="preserve">Ana Marlene Tocto</t>
  </si>
  <si>
    <t xml:space="preserve">anatoctogia529@gmail.com</t>
  </si>
  <si>
    <t xml:space="preserve">Bryant Fletcher Cse</t>
  </si>
  <si>
    <t xml:space="preserve">josue.elrey23@gmail.com</t>
  </si>
  <si>
    <t xml:space="preserve">Joel Moran Castro</t>
  </si>
  <si>
    <t xml:space="preserve">joelmoranc@gmail.com</t>
  </si>
  <si>
    <t xml:space="preserve">Pedro Alarcón</t>
  </si>
  <si>
    <t xml:space="preserve">alarcon26pedro@gmail.com</t>
  </si>
  <si>
    <t xml:space="preserve">Se brinda toda la informacion, se envia malla curricular al WhastApp y se agenda nueva llamada para mirar si desea iniciar proceso </t>
  </si>
  <si>
    <t xml:space="preserve">Alejandra Rodriguez</t>
  </si>
  <si>
    <t xml:space="preserve">alejandra777888@gmail.com</t>
  </si>
  <si>
    <t xml:space="preserve">Se agenda nueva llamada</t>
  </si>
  <si>
    <t xml:space="preserve">Digna Boconzaca</t>
  </si>
  <si>
    <t xml:space="preserve">digna_boconzaca@hotmail.com</t>
  </si>
  <si>
    <t xml:space="preserve">Jennifer Rivas Cabal</t>
  </si>
  <si>
    <t xml:space="preserve">sjrivas27@hotmail.com</t>
  </si>
  <si>
    <t xml:space="preserve">Deisy Riera</t>
  </si>
  <si>
    <t xml:space="preserve">rieradeisy123@outlook.com</t>
  </si>
  <si>
    <t xml:space="preserve">Robert Riascos</t>
  </si>
  <si>
    <t xml:space="preserve">Riascos99-@hotmail.com</t>
  </si>
  <si>
    <t xml:space="preserve">Se agenda nueva llamada, para ver que ha pensado, se brinda toda la asesoría </t>
  </si>
  <si>
    <t xml:space="preserve">Lady Mayra Barzola Mantuano</t>
  </si>
  <si>
    <t xml:space="preserve">mayraladybb_milagro@hotmail.com</t>
  </si>
  <si>
    <t xml:space="preserve">interesada en psicologia</t>
  </si>
  <si>
    <t xml:space="preserve">silvia robinzon</t>
  </si>
  <si>
    <t xml:space="preserve">silvipatyrm@hotmail.com</t>
  </si>
  <si>
    <t xml:space="preserve">Angelica Quezada</t>
  </si>
  <si>
    <t xml:space="preserve">angy010487@hotmail.com</t>
  </si>
  <si>
    <t xml:space="preserve">Blankita Guaman</t>
  </si>
  <si>
    <t xml:space="preserve">blancaguaman67@hotmail.com</t>
  </si>
  <si>
    <t xml:space="preserve">Johis Mendez Leon</t>
  </si>
  <si>
    <t xml:space="preserve">johannita_mendez1986@hotmail.com</t>
  </si>
  <si>
    <t xml:space="preserve">Jorge Alava</t>
  </si>
  <si>
    <t xml:space="preserve">alavajor@gmail.com</t>
  </si>
  <si>
    <t xml:space="preserve">No estaba, se agenda llamada, se deja mensaje con tercero </t>
  </si>
  <si>
    <t xml:space="preserve">Jordan Martinez</t>
  </si>
  <si>
    <t xml:space="preserve">chiquitolindop@hotmail.com</t>
  </si>
  <si>
    <t xml:space="preserve">Joselyn Alvarado</t>
  </si>
  <si>
    <t xml:space="preserve">tatianita_1542@hotmail.com</t>
  </si>
  <si>
    <t xml:space="preserve">Eduardo Alarcon</t>
  </si>
  <si>
    <t xml:space="preserve">almendoz2017@gmail.com</t>
  </si>
  <si>
    <t xml:space="preserve">Genesis Gomezcoello vera</t>
  </si>
  <si>
    <t xml:space="preserve">genesisgomezcoello@outlook.es</t>
  </si>
  <si>
    <t xml:space="preserve">Se asesora y se agenda nueva llamada </t>
  </si>
  <si>
    <t xml:space="preserve">Katiuska Pita Carrasco</t>
  </si>
  <si>
    <t xml:space="preserve">kata.pita12@gmail.com</t>
  </si>
  <si>
    <t xml:space="preserve">Ladi Alvarado</t>
  </si>
  <si>
    <t xml:space="preserve">Ladyalvaradomora@outlook.com</t>
  </si>
  <si>
    <t xml:space="preserve">Junnior Alvarez Medina</t>
  </si>
  <si>
    <t xml:space="preserve">junior_10jr@hotmail.com</t>
  </si>
  <si>
    <t xml:space="preserve">Indica que el presupuesto no le alcanza para tomar la carrera</t>
  </si>
  <si>
    <t xml:space="preserve">Veriito Vargas</t>
  </si>
  <si>
    <t xml:space="preserve">verito.2018@hotmail.com</t>
  </si>
  <si>
    <t xml:space="preserve">Se asesora, se agenda nueva llamada</t>
  </si>
  <si>
    <t xml:space="preserve">Melissa Cevallos</t>
  </si>
  <si>
    <t xml:space="preserve">melchiki31@gmail.com</t>
  </si>
  <si>
    <t xml:space="preserve">Tatiana Estefania Cedeño Sarmiento</t>
  </si>
  <si>
    <t xml:space="preserve">tatiestefacesar@hotmail.com</t>
  </si>
  <si>
    <t xml:space="preserve">Se asesora, y se agenda nueva llamada para el mismo dia y mirar si desea iniciar proceso</t>
  </si>
  <si>
    <t xml:space="preserve">Kathie Diana Espinoza</t>
  </si>
  <si>
    <t xml:space="preserve">041296dk@gmail.com</t>
  </si>
  <si>
    <t xml:space="preserve">Indica que está en otra universidad, pero cuando se gradue va a ingresar a la licenciatura con la UTEG, desea aplazar y que nos comuniquemos con ella a mediados de noviembre 2019  </t>
  </si>
  <si>
    <t xml:space="preserve">Stefania Villaprado</t>
  </si>
  <si>
    <t xml:space="preserve">stefan_i_a91@hotmail.com</t>
  </si>
  <si>
    <t xml:space="preserve">Clarita Mora de Arreaga</t>
  </si>
  <si>
    <t xml:space="preserve">claram81@hotmail.com</t>
  </si>
  <si>
    <t xml:space="preserve">Jairo Ivan Torres Rosero</t>
  </si>
  <si>
    <t xml:space="preserve">jtorres68_@hotmail.com</t>
  </si>
  <si>
    <t xml:space="preserve">Joseline Andrea Domínguez</t>
  </si>
  <si>
    <t xml:space="preserve">kiara_castillo@outlook.es</t>
  </si>
  <si>
    <t xml:space="preserve">Jack Mendieta</t>
  </si>
  <si>
    <t xml:space="preserve">mend.jacky@outlook.es</t>
  </si>
  <si>
    <t xml:space="preserve">anteriormente estaban interesados pero les resultó un proyecto he indica que no puede tomar la carrera </t>
  </si>
  <si>
    <t xml:space="preserve">Graciia Manuu</t>
  </si>
  <si>
    <t xml:space="preserve">graciamanuu@gmail.com</t>
  </si>
  <si>
    <t xml:space="preserve">Aída J. Vásquez Mendoza</t>
  </si>
  <si>
    <t xml:space="preserve">ajvm_9@hotmail.com</t>
  </si>
  <si>
    <t xml:space="preserve">María Del Cisne</t>
  </si>
  <si>
    <t xml:space="preserve">maicem65@gmail.com</t>
  </si>
  <si>
    <t xml:space="preserve">Deisy Bajaña Acosta</t>
  </si>
  <si>
    <t xml:space="preserve">brigythe_a26@hotmail.com</t>
  </si>
  <si>
    <t xml:space="preserve">Ya no se encuentra interesada</t>
  </si>
  <si>
    <t xml:space="preserve">Barce Diegolski</t>
  </si>
  <si>
    <t xml:space="preserve">drvc_d@hotmail.com</t>
  </si>
  <si>
    <t xml:space="preserve">Roxana Pincay</t>
  </si>
  <si>
    <t xml:space="preserve">roxanamlucas@gmail.com</t>
  </si>
  <si>
    <t xml:space="preserve">Rolando Kaled AR</t>
  </si>
  <si>
    <t xml:space="preserve">patorolandrp1980@gmail.com</t>
  </si>
  <si>
    <t xml:space="preserve">Jessica Chamba</t>
  </si>
  <si>
    <t xml:space="preserve">jess.chamba.b@hotmail.com</t>
  </si>
  <si>
    <t xml:space="preserve">Ximena Franco</t>
  </si>
  <si>
    <t xml:space="preserve">ximefra2000@hotmail.com</t>
  </si>
  <si>
    <t xml:space="preserve">Kate</t>
  </si>
  <si>
    <t xml:space="preserve">katyarias1@gmail.com</t>
  </si>
  <si>
    <t xml:space="preserve">había mucha interferencia, se agenda nueva llamada</t>
  </si>
  <si>
    <t xml:space="preserve">Maribel Robalino</t>
  </si>
  <si>
    <t xml:space="preserve">maribelrobalino@yahoo.com</t>
  </si>
  <si>
    <t xml:space="preserve">Se envía correo con información, se agenda nueva llamada, desea ingresar por homologación </t>
  </si>
  <si>
    <t xml:space="preserve">Juan Castro</t>
  </si>
  <si>
    <t xml:space="preserve">jjcaspil1998@hotmail.com</t>
  </si>
  <si>
    <t xml:space="preserve">Gemita Vera</t>
  </si>
  <si>
    <t xml:space="preserve">gmvvmarch@outlook.com</t>
  </si>
  <si>
    <t xml:space="preserve">Se brinda asesoria, estaba en clase e indica que se va a comunicar mejor al WhatsApp para pedir información </t>
  </si>
  <si>
    <t xml:space="preserve">Ricardo Fonseca</t>
  </si>
  <si>
    <t xml:space="preserve">ricardofonseca88@gmail.com</t>
  </si>
  <si>
    <t xml:space="preserve">Jessica Tenorio Campuzano</t>
  </si>
  <si>
    <t xml:space="preserve">jessica768@gmsil.com</t>
  </si>
  <si>
    <t xml:space="preserve">Daniela Parra</t>
  </si>
  <si>
    <t xml:space="preserve">danielamelany15@hotmail.com</t>
  </si>
  <si>
    <t xml:space="preserve">Desea pensarlo, se agenda nueva llamada para mirar si desea iniciar proceso </t>
  </si>
  <si>
    <t xml:space="preserve">Amy Valeria</t>
  </si>
  <si>
    <t xml:space="preserve">webwibwop@gmail.com</t>
  </si>
  <si>
    <t xml:space="preserve">Roxi Espinoza</t>
  </si>
  <si>
    <t xml:space="preserve">roxiespi24@hotmail.com</t>
  </si>
  <si>
    <t xml:space="preserve">Verónica Rivera</t>
  </si>
  <si>
    <t xml:space="preserve">river_ver@hotmail.com</t>
  </si>
  <si>
    <t xml:space="preserve">Arelys Aveiga</t>
  </si>
  <si>
    <t xml:space="preserve">rositarelys.0795@hotmail.com</t>
  </si>
  <si>
    <t xml:space="preserve">Sandra Goya</t>
  </si>
  <si>
    <t xml:space="preserve">domivasg83@gmail.com</t>
  </si>
  <si>
    <t xml:space="preserve">Mabelita Villagomez</t>
  </si>
  <si>
    <t xml:space="preserve">ismaelsanchez2009@hotmail.com</t>
  </si>
  <si>
    <t xml:space="preserve">Angy Carranza</t>
  </si>
  <si>
    <t xml:space="preserve">brayanbozza1999@hotmail.com</t>
  </si>
  <si>
    <t xml:space="preserve">No contesta-buzon de voz</t>
  </si>
  <si>
    <t xml:space="preserve">Mono Gabrielle Moreira</t>
  </si>
  <si>
    <t xml:space="preserve">alfombrarojaec@gmail.com</t>
  </si>
  <si>
    <t xml:space="preserve">kty Muñoz</t>
  </si>
  <si>
    <t xml:space="preserve">kty_mupic@hotmail.com</t>
  </si>
  <si>
    <t xml:space="preserve">Se brinda asesoria, se agenda nueva llamada por que estaba mala la señal </t>
  </si>
  <si>
    <t xml:space="preserve">Genesis Molina</t>
  </si>
  <si>
    <t xml:space="preserve">jamiletmolinayagual@outlook.es</t>
  </si>
  <si>
    <t xml:space="preserve">Steven Barzola</t>
  </si>
  <si>
    <t xml:space="preserve">flaco-3029@hotmail.com</t>
  </si>
  <si>
    <t xml:space="preserve">Carlos Julio</t>
  </si>
  <si>
    <t xml:space="preserve">cbaciliopozo@hotmail.com</t>
  </si>
  <si>
    <t xml:space="preserve">Se envía información al correo, y se agenda nueva llamada para confirmar correo, aclarar posibles dudas y ver si desea iniciar proceso </t>
  </si>
  <si>
    <t xml:space="preserve">katherine Marquez</t>
  </si>
  <si>
    <t xml:space="preserve">fabitabella8093@gmail.com</t>
  </si>
  <si>
    <t xml:space="preserve">No estaba en el trabajo, se agenda nueva llamada para dar la información </t>
  </si>
  <si>
    <t xml:space="preserve">María Fernanda Holguín H</t>
  </si>
  <si>
    <t xml:space="preserve">maferholguinh@gmail.com</t>
  </si>
  <si>
    <t xml:space="preserve">se agenda nueva llamada</t>
  </si>
  <si>
    <t xml:space="preserve">Kayse Iturralde</t>
  </si>
  <si>
    <t xml:space="preserve">kmisytrmm31@gmail.com</t>
  </si>
  <si>
    <t xml:space="preserve">Indica asistir directamente a la universidad el dia de mañana 19 de enero</t>
  </si>
  <si>
    <t xml:space="preserve">Doris Ortega</t>
  </si>
  <si>
    <t xml:space="preserve">marleneortega1996@gmail.com</t>
  </si>
  <si>
    <t xml:space="preserve">No interesada en el programa</t>
  </si>
  <si>
    <t xml:space="preserve">Melissa Sarcos</t>
  </si>
  <si>
    <t xml:space="preserve">melissasarcos@live.com</t>
  </si>
  <si>
    <t xml:space="preserve">Arianna Chavez Garcia</t>
  </si>
  <si>
    <t xml:space="preserve">ariangel8203@gmail.com</t>
  </si>
  <si>
    <t xml:space="preserve">Tani Alexandra Bermeo Cisneros</t>
  </si>
  <si>
    <t xml:space="preserve">tanibermeoc@hotmail.com</t>
  </si>
  <si>
    <t xml:space="preserve">Vicky Largo</t>
  </si>
  <si>
    <t xml:space="preserve">mvicky_188@hotmail.com</t>
  </si>
  <si>
    <t xml:space="preserve">Estaba ocupada, se agenda nueva llamada </t>
  </si>
  <si>
    <t xml:space="preserve">MaBelen Lozano Garcia</t>
  </si>
  <si>
    <t xml:space="preserve">mariabelenlozanog@hotmail.com</t>
  </si>
  <si>
    <t xml:space="preserve">Gladys Bajaña Molina</t>
  </si>
  <si>
    <t xml:space="preserve">gladucha_89@hotmail.com</t>
  </si>
  <si>
    <t xml:space="preserve">Ginger Gonzalez</t>
  </si>
  <si>
    <t xml:space="preserve">90gingergonzalez@gmail.com</t>
  </si>
  <si>
    <t xml:space="preserve">Dunia Bustamante</t>
  </si>
  <si>
    <t xml:space="preserve">dbustamante2008@hotmail.com</t>
  </si>
  <si>
    <t xml:space="preserve">Jonner Tomala</t>
  </si>
  <si>
    <t xml:space="preserve">bonoso_91@hotmail.com</t>
  </si>
  <si>
    <t xml:space="preserve">Mellisa Falquez</t>
  </si>
  <si>
    <t xml:space="preserve">melis_sam_n@hotmail.com</t>
  </si>
  <si>
    <t xml:space="preserve">Se agenda nueva llamada para mirar que ha pensado</t>
  </si>
  <si>
    <t xml:space="preserve">Yuquilima Jenny</t>
  </si>
  <si>
    <t xml:space="preserve">jsusana85@hotmail.com</t>
  </si>
  <si>
    <t xml:space="preserve">Eduardo Manuel Moran Echeverria</t>
  </si>
  <si>
    <t xml:space="preserve">emmoran_est@utmachala.edu.ec</t>
  </si>
  <si>
    <t xml:space="preserve">Se brinda información y se envian maestrias por WhastApp</t>
  </si>
  <si>
    <t xml:space="preserve">Bethsabé Vásconez</t>
  </si>
  <si>
    <t xml:space="preserve">bethsalli@hotmail.com</t>
  </si>
  <si>
    <t xml:space="preserve">Ingrid Mayorga Coto</t>
  </si>
  <si>
    <t xml:space="preserve">pamelamaco@hotmail.com</t>
  </si>
  <si>
    <t xml:space="preserve">No interesada en la maestría</t>
  </si>
  <si>
    <t xml:space="preserve">Sebastian Muñoz</t>
  </si>
  <si>
    <t xml:space="preserve">jsmz02332@gmail.com</t>
  </si>
  <si>
    <t xml:space="preserve">Mauricio Vera</t>
  </si>
  <si>
    <t xml:space="preserve">mauriciovera_itb@hotmail.com</t>
  </si>
  <si>
    <t xml:space="preserve">Angelica Cedeño</t>
  </si>
  <si>
    <t xml:space="preserve">angeljessi.1993_@hotmail.com</t>
  </si>
  <si>
    <t xml:space="preserve">Se brinda asesoría, se da numero del WhatsApp, va  a mirar horarios ya que vive lejos de la universidad  </t>
  </si>
  <si>
    <t xml:space="preserve">Joel Lamilla</t>
  </si>
  <si>
    <t xml:space="preserve">Joellamilla@hotmail.com</t>
  </si>
  <si>
    <t xml:space="preserve">No interesado en el programa</t>
  </si>
  <si>
    <t xml:space="preserve">Karito Cabrera</t>
  </si>
  <si>
    <t xml:space="preserve">Karol.28cabrera@gmail.com</t>
  </si>
  <si>
    <t xml:space="preserve">Martha Pogo</t>
  </si>
  <si>
    <t xml:space="preserve">marmapogo@hotmail.com</t>
  </si>
  <si>
    <t xml:space="preserve">Se brinda asesoría y se envia tambien informacion por WhatsApp </t>
  </si>
  <si>
    <t xml:space="preserve">Ronny Mitchell Zambrano Fariño</t>
  </si>
  <si>
    <t xml:space="preserve">ronnyz82@hotmail.com</t>
  </si>
  <si>
    <t xml:space="preserve">Indica que desea aplazar ya que el tiempo de inicio de la maestría no le da por lo que le toca viajar a unas capacitaciones </t>
  </si>
  <si>
    <t xml:space="preserve">Lourdes Loor Zambrano</t>
  </si>
  <si>
    <t xml:space="preserve">lourdes_523@hotmail.es</t>
  </si>
  <si>
    <t xml:space="preserve">Se realiza preinscripción en llamada, indica asistir a entrevista la próxima semana y llevar toda la documentación </t>
  </si>
  <si>
    <t xml:space="preserve">Angee Margarita Cuero Medina</t>
  </si>
  <si>
    <t xml:space="preserve">angee_c@hotmail.com</t>
  </si>
  <si>
    <t xml:space="preserve">Cindy Kathiusca</t>
  </si>
  <si>
    <t xml:space="preserve">cindyoleas.1990@gmail.com</t>
  </si>
  <si>
    <t xml:space="preserve">Enma Balladares Espinoza</t>
  </si>
  <si>
    <t xml:space="preserve">enmaballadares@hotmail.com</t>
  </si>
  <si>
    <t xml:space="preserve">Se brinda asesoría, se agenda nueva llamada para mirar que ha pensado </t>
  </si>
  <si>
    <t xml:space="preserve">Erika Quimis</t>
  </si>
  <si>
    <t xml:space="preserve">erika23_04@hotmail.com</t>
  </si>
  <si>
    <t xml:space="preserve">Fanny Arguello Fiallos</t>
  </si>
  <si>
    <t xml:space="preserve">fanarguello@hotmail.com</t>
  </si>
  <si>
    <t xml:space="preserve">Se envia correo con información de la maestría, se agenda nueva llamada</t>
  </si>
  <si>
    <t xml:space="preserve">Marco Almache Cando</t>
  </si>
  <si>
    <t xml:space="preserve">malmache78@hotmail.com</t>
  </si>
  <si>
    <t xml:space="preserve">telmo</t>
  </si>
  <si>
    <t xml:space="preserve">laracarbo26@gmail.com</t>
  </si>
  <si>
    <t xml:space="preserve">Lady Vivar</t>
  </si>
  <si>
    <t xml:space="preserve">ladycita-91@hotmail.com</t>
  </si>
  <si>
    <t xml:space="preserve">Jose Francisco Rodriges Gurumendi</t>
  </si>
  <si>
    <t xml:space="preserve">rodriguezgurumendi@gmail.com</t>
  </si>
  <si>
    <t xml:space="preserve">Ingenieria_en_tecnologias_de_la_información</t>
  </si>
  <si>
    <t xml:space="preserve">Alexis Ramirez Vera</t>
  </si>
  <si>
    <t xml:space="preserve">alexis_music-opera27@outlook.com</t>
  </si>
  <si>
    <t xml:space="preserve">Daniel Rivera</t>
  </si>
  <si>
    <t xml:space="preserve">arturorivera_1995@hotmail.com</t>
  </si>
  <si>
    <t xml:space="preserve">Se brinda información y se envía correo, se agenda nueva llamada, ya que estaba en reunión </t>
  </si>
  <si>
    <t xml:space="preserve">Shely Johann</t>
  </si>
  <si>
    <t xml:space="preserve">silvana-sjcm@hotmail.com</t>
  </si>
  <si>
    <t xml:space="preserve">Carlos Alberto Osejo</t>
  </si>
  <si>
    <t xml:space="preserve">charles3000ec@hotmail.com</t>
  </si>
  <si>
    <t xml:space="preserve">se brinda asesoria, se brinda numero de WhatsApp, indica comunicarse alli si, desea ingresar por homologacion </t>
  </si>
  <si>
    <t xml:space="preserve">Liliana Bohórquez Rodríguez</t>
  </si>
  <si>
    <t xml:space="preserve">lr3382532@gmail.com</t>
  </si>
  <si>
    <t xml:space="preserve">ya esta en proceso de realizar el examen del colegio para bachiller, se agenda nueva llamada para mirar si va a tomar la carrera </t>
  </si>
  <si>
    <t xml:space="preserve">Gabriela Arboleda Jimenez</t>
  </si>
  <si>
    <t xml:space="preserve">gabitax16@hotmail.com</t>
  </si>
  <si>
    <t xml:space="preserve">Javier Martinez</t>
  </si>
  <si>
    <t xml:space="preserve">martinez1998@outlook.com</t>
  </si>
  <si>
    <t xml:space="preserve">Karen Dennis Romero</t>
  </si>
  <si>
    <t xml:space="preserve">karennieto6@hotmail.es</t>
  </si>
  <si>
    <t xml:space="preserve">Yuliana Vlz</t>
  </si>
  <si>
    <t xml:space="preserve">yulianavelez8316@gmail.com</t>
  </si>
  <si>
    <t xml:space="preserve">Elizabeth Antamba</t>
  </si>
  <si>
    <t xml:space="preserve">antmariela52@gmail.com</t>
  </si>
  <si>
    <t xml:space="preserve">Diego Moreno</t>
  </si>
  <si>
    <t xml:space="preserve">mdiegoalvaro@yahoo.com</t>
  </si>
  <si>
    <t xml:space="preserve">Estaba ocupado, se agenda nueva llamada </t>
  </si>
  <si>
    <t xml:space="preserve">Wendy Lindao</t>
  </si>
  <si>
    <t xml:space="preserve">obita_986045@hotmail.com</t>
  </si>
  <si>
    <t xml:space="preserve">Veronica Andrade</t>
  </si>
  <si>
    <t xml:space="preserve">verialex28@gmail.com</t>
  </si>
  <si>
    <t xml:space="preserve">Alexiito Pucuna</t>
  </si>
  <si>
    <t xml:space="preserve">hihooforever@hotmail.com</t>
  </si>
  <si>
    <t xml:space="preserve">Indica asistir directamente a la universidad </t>
  </si>
  <si>
    <t xml:space="preserve">Majo García</t>
  </si>
  <si>
    <t xml:space="preserve">198524@hotmail.com</t>
  </si>
  <si>
    <t xml:space="preserve">Se brinda asesoría, queda en dar respuesta al dia siguiente </t>
  </si>
  <si>
    <t xml:space="preserve">Eliana Tuarez</t>
  </si>
  <si>
    <t xml:space="preserve">elytuprincesa.97@outlook.com</t>
  </si>
  <si>
    <t xml:space="preserve">Enma Yadira Chamba Sinche</t>
  </si>
  <si>
    <t xml:space="preserve">enmayadichs@hotmail.com</t>
  </si>
  <si>
    <t xml:space="preserve">Se brinda toda la asesoría, se agenda nueva llamada para mirar qué ha pensado </t>
  </si>
  <si>
    <t xml:space="preserve">Diego Alarcón Hernández</t>
  </si>
  <si>
    <t xml:space="preserve">diego.fernando1987@hotmail.es</t>
  </si>
  <si>
    <t xml:space="preserve">Estaba en el trabajo, contestó la esposa, se agenda nueva llamada</t>
  </si>
  <si>
    <t xml:space="preserve">Joseph Gabriel Arámbulo Martillo</t>
  </si>
  <si>
    <t xml:space="preserve">gabriel.josepharambulo@live.com</t>
  </si>
  <si>
    <t xml:space="preserve">Se comunicará en el momento que este interesado</t>
  </si>
  <si>
    <t xml:space="preserve">Angel Vinicio G P</t>
  </si>
  <si>
    <t xml:space="preserve">a_guaraca@hotmail.com</t>
  </si>
  <si>
    <t xml:space="preserve">Mayra Jime</t>
  </si>
  <si>
    <t xml:space="preserve">geovanyos76@gmail.com</t>
  </si>
  <si>
    <t xml:space="preserve">Eloisa Zambrano Olivo</t>
  </si>
  <si>
    <t xml:space="preserve">eloisazambranoo@yahoo.es</t>
  </si>
  <si>
    <t xml:space="preserve">Sara Cedeño</t>
  </si>
  <si>
    <t xml:space="preserve">ramiysary@hotmail.com</t>
  </si>
  <si>
    <t xml:space="preserve">José Adrian Vélez Samaniego</t>
  </si>
  <si>
    <t xml:space="preserve">jvelezsamaniego@gmail.com</t>
  </si>
  <si>
    <t xml:space="preserve">Se brinda asesoría, se agenda nueva llamada para mirar qué ha pensado </t>
  </si>
  <si>
    <t xml:space="preserve">Maria Lissette Patin Negryta</t>
  </si>
  <si>
    <t xml:space="preserve">mar_ys1987@hotmail.com</t>
  </si>
  <si>
    <t xml:space="preserve">Stefany Gabriela</t>
  </si>
  <si>
    <t xml:space="preserve">gabrielabarba28@gmail.com</t>
  </si>
  <si>
    <t xml:space="preserve">Jacky's Pando</t>
  </si>
  <si>
    <t xml:space="preserve">faby9702@hotmail.com</t>
  </si>
  <si>
    <t xml:space="preserve">Indica que no está interesada en estudiar en la UNIVERSIDAD </t>
  </si>
  <si>
    <t xml:space="preserve">Jennifer Navarrete</t>
  </si>
  <si>
    <t xml:space="preserve">Navarrete_94@hotmail.com</t>
  </si>
  <si>
    <t xml:space="preserve">Karen Mosquera</t>
  </si>
  <si>
    <t xml:space="preserve">karen_mosq@hotmail.com</t>
  </si>
  <si>
    <t xml:space="preserve">Indica que  no está interesada en estudiar en la Universidad por el momento</t>
  </si>
  <si>
    <t xml:space="preserve">Juanky Velasco</t>
  </si>
  <si>
    <t xml:space="preserve">dementepk@hotmail.com</t>
  </si>
  <si>
    <t xml:space="preserve">Se envía correo con información, se agenda nueva llamada para confirmar correo  </t>
  </si>
  <si>
    <t xml:space="preserve">Hilary Gualli</t>
  </si>
  <si>
    <t xml:space="preserve">multicomerciohilary@hotmail.com</t>
  </si>
  <si>
    <t xml:space="preserve">Se envía correo con información, se agenda nueva llamada para confirmar correo y aclarar posibles dudas </t>
  </si>
  <si>
    <t xml:space="preserve">Víctor Hugo</t>
  </si>
  <si>
    <t xml:space="preserve">victorpetrona@hotmail.com</t>
  </si>
  <si>
    <t xml:space="preserve">Lourdes Elena Maji Fernandez</t>
  </si>
  <si>
    <t xml:space="preserve">elenamaji08jazz@gmail.com</t>
  </si>
  <si>
    <t xml:space="preserve">Se asesora y Se agenda nueva llamada.</t>
  </si>
  <si>
    <t xml:space="preserve">Karla yanela Gómez Morales</t>
  </si>
  <si>
    <t xml:space="preserve">gkarlita335@gmail.com</t>
  </si>
  <si>
    <t xml:space="preserve">No estaba, responde el esposo, se agenda nueva llamada</t>
  </si>
  <si>
    <t xml:space="preserve">Byron Lara</t>
  </si>
  <si>
    <t xml:space="preserve">byron_1994@hotmail.es</t>
  </si>
  <si>
    <t xml:space="preserve">Cristia Cardenas</t>
  </si>
  <si>
    <t xml:space="preserve">cp27_31_14@hotmail.es</t>
  </si>
  <si>
    <t xml:space="preserve">Carito Moren</t>
  </si>
  <si>
    <t xml:space="preserve">carolinasmdm@gmail.com</t>
  </si>
  <si>
    <t xml:space="preserve">Joselyn valdez</t>
  </si>
  <si>
    <t xml:space="preserve">carmen_val16@outlook.com</t>
  </si>
  <si>
    <t xml:space="preserve">Katty Mar Greriivas</t>
  </si>
  <si>
    <t xml:space="preserve">katti_1991@hotmail.com</t>
  </si>
  <si>
    <t xml:space="preserve">Brenda Gonzabay Moran</t>
  </si>
  <si>
    <t xml:space="preserve">brendagonzabay2016@gmail.com</t>
  </si>
  <si>
    <t xml:space="preserve">Maria Jose Arias Medina</t>
  </si>
  <si>
    <t xml:space="preserve">Saulmatias09cris@gmail.com</t>
  </si>
  <si>
    <t xml:space="preserve">Pato Romero</t>
  </si>
  <si>
    <t xml:space="preserve">Byronromero_29@hotmail.com</t>
  </si>
  <si>
    <t xml:space="preserve">Jesica Benavides</t>
  </si>
  <si>
    <t xml:space="preserve">jesicabenavides@hotmail.com</t>
  </si>
  <si>
    <t xml:space="preserve">Eloaisa Zambrano Olivo</t>
  </si>
  <si>
    <t xml:space="preserve">Franklin Mayancha</t>
  </si>
  <si>
    <t xml:space="preserve">frankman_1982@hotmail.com</t>
  </si>
  <si>
    <t xml:space="preserve">Indica que ya tenía clara toda la información, y se realiza preinscripción, se envían requisitos al WhatsApp </t>
  </si>
  <si>
    <t xml:space="preserve">Jorge Luis F</t>
  </si>
  <si>
    <t xml:space="preserve">fuela75@gmail.com</t>
  </si>
  <si>
    <t xml:space="preserve">Adrian Vera Borell</t>
  </si>
  <si>
    <t xml:space="preserve">veraadrian163@gmail.com</t>
  </si>
  <si>
    <t xml:space="preserve">Indica que está mirando precios en diferentes universidades, va a realizar la prueba del senescyt y queda en comunicarse cuando tome una decisión   </t>
  </si>
  <si>
    <t xml:space="preserve">Jessica Camacho</t>
  </si>
  <si>
    <t xml:space="preserve">marcelamadelaine@hotmail.com</t>
  </si>
  <si>
    <t xml:space="preserve">edgar arguello</t>
  </si>
  <si>
    <t xml:space="preserve">edgar.argui@hotmail.com</t>
  </si>
  <si>
    <t xml:space="preserve">Cesar Efrain Mendoza Valverde</t>
  </si>
  <si>
    <t xml:space="preserve">Cesarmendoval@12gmail.com</t>
  </si>
  <si>
    <t xml:space="preserve">Indica ir directamente a la universidad a iniciar todo el proceso </t>
  </si>
  <si>
    <t xml:space="preserve">adrian navarrete</t>
  </si>
  <si>
    <t xml:space="preserve">adriannavarrete-22@hotmail.com</t>
  </si>
  <si>
    <t xml:space="preserve">Mesias Gaibor</t>
  </si>
  <si>
    <t xml:space="preserve">gor_ne14@hotmail.con</t>
  </si>
  <si>
    <t xml:space="preserve">Diego Fernando AS</t>
  </si>
  <si>
    <t xml:space="preserve">diegoaucanshala71@gmail.com</t>
  </si>
  <si>
    <t xml:space="preserve">Jose Jimenez</t>
  </si>
  <si>
    <t xml:space="preserve">josseph04@hotmail.com</t>
  </si>
  <si>
    <t xml:space="preserve">Alfredo Gaona</t>
  </si>
  <si>
    <t xml:space="preserve">alfredmgaona@yahoo.com</t>
  </si>
  <si>
    <t xml:space="preserve">Katty Santo</t>
  </si>
  <si>
    <t xml:space="preserve">kat_y1993@hotmail.com</t>
  </si>
  <si>
    <t xml:space="preserve">Número errado </t>
  </si>
  <si>
    <t xml:space="preserve">Maritza Lucero Guillermo</t>
  </si>
  <si>
    <t xml:space="preserve">marylucerog@gmail.com</t>
  </si>
  <si>
    <t xml:space="preserve">Se asesora y se agenda nueva llamada, indica que desea hablar con el esposo para mirar so toman los dos la carrera  </t>
  </si>
  <si>
    <t xml:space="preserve">Mishel Paola Rodriguez Campuzano</t>
  </si>
  <si>
    <t xml:space="preserve">mishelfaiferth@hotmail.com</t>
  </si>
  <si>
    <t xml:space="preserve">Indica asistir directamente a la universidad el día lunes 21 de enero </t>
  </si>
  <si>
    <t xml:space="preserve">John Carvajal</t>
  </si>
  <si>
    <t xml:space="preserve">johncarvajalm@hotmail.com</t>
  </si>
  <si>
    <t xml:space="preserve">Se brinda toda la asesoría, se envía correo con información y se agenda nueva llamada para confirmar si llego el correo  </t>
  </si>
  <si>
    <t xml:space="preserve">Dennis solis</t>
  </si>
  <si>
    <t xml:space="preserve">enriqueruiz73@hotmail.com</t>
  </si>
  <si>
    <t xml:space="preserve">Maricela Castillo</t>
  </si>
  <si>
    <t xml:space="preserve">maricelacastillo12@hotmail.com</t>
  </si>
  <si>
    <t xml:space="preserve">Susana Lopez</t>
  </si>
  <si>
    <t xml:space="preserve">suzanelop888@hotmail.com</t>
  </si>
  <si>
    <t xml:space="preserve">Carol Espinosa</t>
  </si>
  <si>
    <t xml:space="preserve">danaespinosa_97@hotmail.com</t>
  </si>
  <si>
    <t xml:space="preserve">Se agenda nueva llamada para mirar que ha pensado </t>
  </si>
  <si>
    <t xml:space="preserve">Karvalery Aveiga Loor</t>
  </si>
  <si>
    <t xml:space="preserve">aveigakaren@hotmail.com</t>
  </si>
  <si>
    <t xml:space="preserve">Ruth Cusme B</t>
  </si>
  <si>
    <t xml:space="preserve">rufi29rc@hotmail.com</t>
  </si>
  <si>
    <t xml:space="preserve">Roger Muñiz</t>
  </si>
  <si>
    <t xml:space="preserve">popeyito_1992@hotmail.com</t>
  </si>
  <si>
    <t xml:space="preserve">Se brinda asesoría, queda en comunicarse muy pronto para ver si esta interesada  </t>
  </si>
  <si>
    <t xml:space="preserve">Danna Dominguez</t>
  </si>
  <si>
    <t xml:space="preserve">maria-dominguez2015@hotmail.com</t>
  </si>
  <si>
    <t xml:space="preserve">Se da asesoría, y se envia informacionn al correo electrónico de todas las modalidades </t>
  </si>
  <si>
    <t xml:space="preserve">Pacho CP</t>
  </si>
  <si>
    <t xml:space="preserve">patricio.c160@gmail.com</t>
  </si>
  <si>
    <t xml:space="preserve">Viviana Briones Palacios</t>
  </si>
  <si>
    <t xml:space="preserve">vivianabriones20@hotmail.com</t>
  </si>
  <si>
    <t xml:space="preserve">Cece Love Fal</t>
  </si>
  <si>
    <t xml:space="preserve">celestefalcon51@gmail.com</t>
  </si>
  <si>
    <t xml:space="preserve">Lisheth Carrillo</t>
  </si>
  <si>
    <t xml:space="preserve">amochi1620@gmail.com</t>
  </si>
  <si>
    <t xml:space="preserve">May</t>
  </si>
  <si>
    <t xml:space="preserve">mayra_allison@hotmail.com</t>
  </si>
  <si>
    <t xml:space="preserve">Se brinda asesoría, se agenda nueva llamada para mirar que ha pensado la mama, me respondió la llamada la hija </t>
  </si>
  <si>
    <t xml:space="preserve">Lucho Beltran</t>
  </si>
  <si>
    <t xml:space="preserve">l_miguel_9@hotmail.com</t>
  </si>
  <si>
    <t xml:space="preserve">Alejandro Palma</t>
  </si>
  <si>
    <t xml:space="preserve">cristhianpalma@hotmail.com</t>
  </si>
  <si>
    <t xml:space="preserve">Indica asistir directamente  a la universidad </t>
  </si>
  <si>
    <t xml:space="preserve">Olga Bello</t>
  </si>
  <si>
    <t xml:space="preserve">olgabello97@gmail.com</t>
  </si>
  <si>
    <t xml:space="preserve">Ivonne Paola Suàrez Ortiz</t>
  </si>
  <si>
    <t xml:space="preserve">paitosu20@hotmail.com</t>
  </si>
  <si>
    <t xml:space="preserve">Daniela Camacho</t>
  </si>
  <si>
    <t xml:space="preserve">danielamartinezcamacho.2017@gmail.com</t>
  </si>
  <si>
    <t xml:space="preserve">Karol Erazo</t>
  </si>
  <si>
    <t xml:space="preserve">kzevera@hotmail.com</t>
  </si>
  <si>
    <t xml:space="preserve">Pame Auquilla Saquicela</t>
  </si>
  <si>
    <t xml:space="preserve">pamelita-08@hotmail.com</t>
  </si>
  <si>
    <t xml:space="preserve">Se agenda nueva llamada, estaba en horario de oficina</t>
  </si>
  <si>
    <t xml:space="preserve">Adha-lia Pichucho</t>
  </si>
  <si>
    <t xml:space="preserve">sarita.adhalia@gmail.com</t>
  </si>
  <si>
    <t xml:space="preserve">Johannita Inga</t>
  </si>
  <si>
    <t xml:space="preserve">johannita1_17@hotmail.com</t>
  </si>
  <si>
    <t xml:space="preserve">Domenica Cusme</t>
  </si>
  <si>
    <t xml:space="preserve">domenicacusme1999@hotmail.com</t>
  </si>
  <si>
    <t xml:space="preserve">Sandra Campoverde</t>
  </si>
  <si>
    <t xml:space="preserve">sandycampoverde_2607@hotmail.com</t>
  </si>
  <si>
    <t xml:space="preserve">Nancy Guerra Cuenca</t>
  </si>
  <si>
    <t xml:space="preserve">imagina75@hotmail.es</t>
  </si>
  <si>
    <t xml:space="preserve">Se asesora de todas las modalidades, indica ponerse en contacto cuando tome una decisión </t>
  </si>
  <si>
    <t xml:space="preserve">Ronald Salvador</t>
  </si>
  <si>
    <t xml:space="preserve">pajaro2500@gmail.com</t>
  </si>
  <si>
    <t xml:space="preserve">Nerio Luis Villamar Alvares</t>
  </si>
  <si>
    <t xml:space="preserve">Zalome McKathy</t>
  </si>
  <si>
    <t xml:space="preserve">katypupiales@hotmail.com</t>
  </si>
  <si>
    <t xml:space="preserve">Yadira Enderica</t>
  </si>
  <si>
    <t xml:space="preserve">yadira12092011@hotmail.com</t>
  </si>
  <si>
    <t xml:space="preserve">Tanya Macias</t>
  </si>
  <si>
    <t xml:space="preserve">tanyamacias@hotmail.com</t>
  </si>
  <si>
    <t xml:space="preserve">Diana Pazmiño</t>
  </si>
  <si>
    <t xml:space="preserve">rocanaa75@gmail.com</t>
  </si>
  <si>
    <t xml:space="preserve">@steven.B.M</t>
  </si>
  <si>
    <t xml:space="preserve">franksteven22@outlook.es</t>
  </si>
  <si>
    <t xml:space="preserve">Se brinda toda la asesoría, indica que desea acercarse directamente  a la universidad </t>
  </si>
  <si>
    <t xml:space="preserve">Euge Rivadeneira</t>
  </si>
  <si>
    <t xml:space="preserve">paoadamaripr@hotmail.com</t>
  </si>
  <si>
    <t xml:space="preserve">Dayanitap Tamayo</t>
  </si>
  <si>
    <t xml:space="preserve">dayanna.tamayo18@gmail.com</t>
  </si>
  <si>
    <t xml:space="preserve">Fabian Alberto</t>
  </si>
  <si>
    <t xml:space="preserve">jadan19962@gmail.com</t>
  </si>
  <si>
    <t xml:space="preserve">Vielka Blondet</t>
  </si>
  <si>
    <t xml:space="preserve">vielkablondet@hotmail.com</t>
  </si>
  <si>
    <t xml:space="preserve">indica asistir directamente  a la universidad cuando tenga los documentos y la decisión </t>
  </si>
  <si>
    <t xml:space="preserve">Juan Carlos Ponguillo Vite</t>
  </si>
  <si>
    <t xml:space="preserve">jca.ponguillovite66@hotmail.com</t>
  </si>
  <si>
    <t xml:space="preserve">José Garzón</t>
  </si>
  <si>
    <t xml:space="preserve">josegarzon3@hotmail.com</t>
  </si>
  <si>
    <t xml:space="preserve">Se Realiza PreinscripciÓn En La Llamada, Queda Pendiente De La Entrevista Para El Dia Lunes 21 De Enero A Partir De Las 9 De La MaÑana</t>
  </si>
  <si>
    <t xml:space="preserve">Angie Katherine Toapanta</t>
  </si>
  <si>
    <t xml:space="preserve">angie.toapanta@hotmail.com</t>
  </si>
  <si>
    <t xml:space="preserve">Se brinda la información, y se envia tambien por WhatsApp </t>
  </si>
  <si>
    <t xml:space="preserve">Gabriela Romero</t>
  </si>
  <si>
    <t xml:space="preserve">gromero31@hotmail.com</t>
  </si>
  <si>
    <t xml:space="preserve">Paola Verdesoto</t>
  </si>
  <si>
    <t xml:space="preserve">inesita_pvm24@hotmail.com</t>
  </si>
  <si>
    <t xml:space="preserve">Andrea Rodríguez</t>
  </si>
  <si>
    <t xml:space="preserve">andyrodriguezt2@gmail.com</t>
  </si>
  <si>
    <t xml:space="preserve">Marita Ceminario</t>
  </si>
  <si>
    <t xml:space="preserve">eliza_marita@hotmail.com</t>
  </si>
  <si>
    <t xml:space="preserve">Angélica Montecé Cárdenas</t>
  </si>
  <si>
    <t xml:space="preserve">angymay_16@hotmail.com</t>
  </si>
  <si>
    <t xml:space="preserve">Ing Rafael Alvarado</t>
  </si>
  <si>
    <t xml:space="preserve">raphaisrael@yahoo.com</t>
  </si>
  <si>
    <t xml:space="preserve">Freddy Arteaga</t>
  </si>
  <si>
    <t xml:space="preserve">freddyarteaga@hotmail.com</t>
  </si>
  <si>
    <t xml:space="preserve">conactado por admisiones posgrado</t>
  </si>
  <si>
    <t xml:space="preserve">Daniel Cedeño Robalino</t>
  </si>
  <si>
    <t xml:space="preserve">daniel_20.14@hotmail.com</t>
  </si>
  <si>
    <t xml:space="preserve">Dennis Torres</t>
  </si>
  <si>
    <t xml:space="preserve">aracely88_24@hotmail.com</t>
  </si>
  <si>
    <t xml:space="preserve">Mayra Xime</t>
  </si>
  <si>
    <t xml:space="preserve">mayrabriones_1990@hotmail.com</t>
  </si>
  <si>
    <t xml:space="preserve">Jayro Leon Aguirre</t>
  </si>
  <si>
    <t xml:space="preserve">fernando_jfla@hotmail.com</t>
  </si>
  <si>
    <t xml:space="preserve">Se asesora y se envían requisitos al WhatsApp para seguir en seguimiento y mirar posible inscripción </t>
  </si>
  <si>
    <t xml:space="preserve">Jose Antonio Heredero</t>
  </si>
  <si>
    <t xml:space="preserve">joseheredero92@gmail.com</t>
  </si>
  <si>
    <t xml:space="preserve">Maria Veletanga Cadena</t>
  </si>
  <si>
    <t xml:space="preserve">mariaveletanga76@hotmail.es</t>
  </si>
  <si>
    <t xml:space="preserve">Andres Eduardo Andrade Pino</t>
  </si>
  <si>
    <t xml:space="preserve">anedu383@hotmail.com</t>
  </si>
  <si>
    <t xml:space="preserve">Se asesora, se agenda nueva llamada para mirar si desea tomar la maestría </t>
  </si>
  <si>
    <t xml:space="preserve">Yamil Yunez López</t>
  </si>
  <si>
    <t xml:space="preserve">yamilyunez@hotmail.com</t>
  </si>
  <si>
    <t xml:space="preserve">Carla Zambrano Carrión</t>
  </si>
  <si>
    <t xml:space="preserve">carlazambranocc@hotmail.com</t>
  </si>
  <si>
    <t xml:space="preserve">Se brinda toda la información de la maestría, se agenda nueva llamada</t>
  </si>
  <si>
    <t xml:space="preserve">Stefania Arguello</t>
  </si>
  <si>
    <t xml:space="preserve">stefaniaarguello_08@hotmail.es</t>
  </si>
  <si>
    <t xml:space="preserve">Evelyn Vanessa Moncayo Alvarez</t>
  </si>
  <si>
    <t xml:space="preserve">emavan_17nov@hotmail.com</t>
  </si>
  <si>
    <t xml:space="preserve">Olguita Sanchez</t>
  </si>
  <si>
    <t xml:space="preserve">olguita1820@hotmail.it</t>
  </si>
  <si>
    <t xml:space="preserve">Jhonny Ebelio Yánez Berrones</t>
  </si>
  <si>
    <t xml:space="preserve">jhonnys.yanz@gmail.com</t>
  </si>
  <si>
    <t xml:space="preserve">Erick Loza</t>
  </si>
  <si>
    <t xml:space="preserve">erick25loza18@gmail.com</t>
  </si>
  <si>
    <t xml:space="preserve">Estaba en capacitación, se agenda nueva llamada </t>
  </si>
  <si>
    <t xml:space="preserve">Joselyn Jurado</t>
  </si>
  <si>
    <t xml:space="preserve">joselinelizajurado19@gmail.com</t>
  </si>
  <si>
    <t xml:space="preserve">Ariel franklin leon zurita</t>
  </si>
  <si>
    <t xml:space="preserve">ariel-l.z@hotmail.com</t>
  </si>
  <si>
    <t xml:space="preserve">Angela Dayana Arias Sosa</t>
  </si>
  <si>
    <t xml:space="preserve">angelita21_@outlook.com</t>
  </si>
  <si>
    <t xml:space="preserve">Se brinda información y se envía nuevamente al WhatsApp para estar en seguimiento </t>
  </si>
  <si>
    <t xml:space="preserve">Lesly Yuquilema</t>
  </si>
  <si>
    <t xml:space="preserve">lyuquilema@medianet.com.ec</t>
  </si>
  <si>
    <t xml:space="preserve">No estaba, responde la hermana pero se envía información al WhatsApp</t>
  </si>
  <si>
    <t xml:space="preserve">Jessenia Jimenez</t>
  </si>
  <si>
    <t xml:space="preserve">jessy_jimenez16@hotmail.com</t>
  </si>
  <si>
    <t xml:space="preserve">Jordano Iza</t>
  </si>
  <si>
    <t xml:space="preserve">jordano1006@hotmail.com</t>
  </si>
  <si>
    <t xml:space="preserve">se envia informacionn al correo electrónico, se agenda nueva llamada para mirar si llego correo</t>
  </si>
  <si>
    <t xml:space="preserve">Lilibeth Camacho</t>
  </si>
  <si>
    <t xml:space="preserve">atrevida_sexi1989@hotmail.com</t>
  </si>
  <si>
    <t xml:space="preserve">Se brinda asesoría, se agenda nueva llamada para mirar si va a tomar la maestría</t>
  </si>
  <si>
    <t xml:space="preserve">Jackelin Romero</t>
  </si>
  <si>
    <t xml:space="preserve">jackelin_rc@hotmail.com</t>
  </si>
  <si>
    <t xml:space="preserve">Roberth Oswaldo Moncada</t>
  </si>
  <si>
    <t xml:space="preserve">megaplast-ecuador@hotmail.com</t>
  </si>
  <si>
    <t xml:space="preserve">Alejandra Bermudez</t>
  </si>
  <si>
    <t xml:space="preserve">alebercar1990@hotmail.com
</t>
  </si>
  <si>
    <t xml:space="preserve">Se brinda asesoría, y se envia informacionn al correo electronico </t>
  </si>
  <si>
    <t xml:space="preserve">Adriana Morales</t>
  </si>
  <si>
    <t xml:space="preserve">adrianavmoralesm@yahoo.com</t>
  </si>
  <si>
    <t xml:space="preserve">Vanessa Caicedo</t>
  </si>
  <si>
    <t xml:space="preserve">v-caicedo78@hotmail.com</t>
  </si>
  <si>
    <t xml:space="preserve">Vicky Lopez Farah</t>
  </si>
  <si>
    <t xml:space="preserve">teresita_lf89@hotmail.com</t>
  </si>
  <si>
    <t xml:space="preserve">Jose Chunga</t>
  </si>
  <si>
    <t xml:space="preserve">jose931@live.com.ar</t>
  </si>
  <si>
    <t xml:space="preserve">Matias Torres</t>
  </si>
  <si>
    <t xml:space="preserve">elidio_st@hotmail.com</t>
  </si>
  <si>
    <t xml:space="preserve">Jimmy Jimenez</t>
  </si>
  <si>
    <t xml:space="preserve">Jimmy-jimenez21@hotmail.com</t>
  </si>
  <si>
    <t xml:space="preserve">Ile Guzman</t>
  </si>
  <si>
    <t xml:space="preserve">ileanagb00@hotmail.com</t>
  </si>
  <si>
    <t xml:space="preserve">Se asesora, indica que se va acercar directamente a la universidad ya que es para el hijo </t>
  </si>
  <si>
    <t xml:space="preserve">Dalton Josue de VA</t>
  </si>
  <si>
    <t xml:space="preserve">josue123chauca@gmail.com</t>
  </si>
  <si>
    <t xml:space="preserve">Eliseo Rolando Vallejo</t>
  </si>
  <si>
    <t xml:space="preserve">titanlbsvallejo@hotmail.com</t>
  </si>
  <si>
    <t xml:space="preserve">Esta estudiando una tecnología para iniciar proceso de homologación con nosotros, indica comunicarse cuando la termine </t>
  </si>
  <si>
    <t xml:space="preserve">Silvana Jaqueline Ramon</t>
  </si>
  <si>
    <t xml:space="preserve">ashleynayomy01@gmail.com</t>
  </si>
  <si>
    <t xml:space="preserve">Indica ir directamente a la uteg</t>
  </si>
  <si>
    <t xml:space="preserve">Diana Romero</t>
  </si>
  <si>
    <t xml:space="preserve">diverovi@hotmail.com</t>
  </si>
  <si>
    <t xml:space="preserve">Keila Manosalvas</t>
  </si>
  <si>
    <t xml:space="preserve">Kmanosalvas@gmail.com</t>
  </si>
  <si>
    <t xml:space="preserve">Yajaira Viscarra</t>
  </si>
  <si>
    <t xml:space="preserve">yaja-vale@outlook.es</t>
  </si>
  <si>
    <t xml:space="preserve">Karinita Lino Barahona</t>
  </si>
  <si>
    <t xml:space="preserve">karito_6enero@hotmail.com</t>
  </si>
  <si>
    <t xml:space="preserve">Dueñas Morenita Mariany</t>
  </si>
  <si>
    <t xml:space="preserve">gloriamari1992@gmail.com</t>
  </si>
  <si>
    <t xml:space="preserve">María Elena Salazar Sánchez</t>
  </si>
  <si>
    <t xml:space="preserve">aneleirams@hotmail.com</t>
  </si>
  <si>
    <t xml:space="preserve">Segundo Toapanta</t>
  </si>
  <si>
    <t xml:space="preserve">sharischico@hotmail.com</t>
  </si>
  <si>
    <t xml:space="preserve">Shiolum Yarick Vch</t>
  </si>
  <si>
    <t xml:space="preserve">shiolum1@hotmail.com</t>
  </si>
  <si>
    <t xml:space="preserve">Ligia Elena Tarapuez Perez</t>
  </si>
  <si>
    <t xml:space="preserve">ligiatarapues@gmail.com</t>
  </si>
  <si>
    <t xml:space="preserve">Civa Oi</t>
  </si>
  <si>
    <t xml:space="preserve">christianvela979@hotmail.com</t>
  </si>
  <si>
    <t xml:space="preserve">Mayra Quizhpi</t>
  </si>
  <si>
    <t xml:space="preserve">cungachi199624@hotmail.com</t>
  </si>
  <si>
    <t xml:space="preserve">Se Brinda AsesorÍa, Se Comunicara Cuando Tenga Respuesta </t>
  </si>
  <si>
    <t xml:space="preserve">Carmita Garcia</t>
  </si>
  <si>
    <t xml:space="preserve">oseacarmita83@hotmail.com</t>
  </si>
  <si>
    <t xml:space="preserve">Betsy Velez</t>
  </si>
  <si>
    <t xml:space="preserve">vbetsy25@gmail.com</t>
  </si>
  <si>
    <t xml:space="preserve">Se asesora pero se cortó la llamada, se agenda nueva llamada </t>
  </si>
  <si>
    <t xml:space="preserve">Jemina Tucunango</t>
  </si>
  <si>
    <t xml:space="preserve">jemisebas@hotmail.com</t>
  </si>
  <si>
    <t xml:space="preserve">Sorange Rodriguez</t>
  </si>
  <si>
    <t xml:space="preserve">sorangerodriguez1973@gmail.com</t>
  </si>
  <si>
    <t xml:space="preserve">Pablo Gustavo Achig Valverde</t>
  </si>
  <si>
    <t xml:space="preserve">cap.pablo_achig@hotmail.com</t>
  </si>
  <si>
    <t xml:space="preserve">Indica que está realizando otro curso, por ahora le queda complicado tomar también la carrera, desea aplazar para el semestre 2019-2</t>
  </si>
  <si>
    <t xml:space="preserve">Maria Magdalena Laje Teran</t>
  </si>
  <si>
    <t xml:space="preserve">lajemaria90@gmail.com</t>
  </si>
  <si>
    <t xml:space="preserve">Se asesora, indica que se va acercar directamente a la universidad </t>
  </si>
  <si>
    <t xml:space="preserve">Melvin Castro</t>
  </si>
  <si>
    <t xml:space="preserve">castromelvinisaias2014@gmail.com</t>
  </si>
  <si>
    <t xml:space="preserve">C Fernando Gonzalez</t>
  </si>
  <si>
    <t xml:space="preserve">fernando_glez1921@hotmail.com</t>
  </si>
  <si>
    <t xml:space="preserve">Se brinda asesoría, se agenda nueva llamada</t>
  </si>
  <si>
    <t xml:space="preserve">Josue Muñoz</t>
  </si>
  <si>
    <t xml:space="preserve">jjosue_evelin@hotmail.com</t>
  </si>
  <si>
    <t xml:space="preserve">Indica acercarse directamente a la Uteg </t>
  </si>
  <si>
    <t xml:space="preserve">Annabell jahaira Campuzano suarez</t>
  </si>
  <si>
    <t xml:space="preserve">anabell99@hotmail.es</t>
  </si>
  <si>
    <t xml:space="preserve">No interesada en el programa </t>
  </si>
  <si>
    <t xml:space="preserve">Viviarimathi Barros</t>
  </si>
  <si>
    <t xml:space="preserve">vivianabarros94@yahoo.es</t>
  </si>
  <si>
    <t xml:space="preserve">Nicole Del Pilar Sarez Alcivar</t>
  </si>
  <si>
    <t xml:space="preserve">nicolesarezalcivar@gmail.com</t>
  </si>
  <si>
    <t xml:space="preserve">Lucero Pallo Martinez</t>
  </si>
  <si>
    <t xml:space="preserve">luceritop13@hotmail.com</t>
  </si>
  <si>
    <t xml:space="preserve">Nathaly Figueroa</t>
  </si>
  <si>
    <t xml:space="preserve">nathalyft@hotmail.com</t>
  </si>
  <si>
    <t xml:space="preserve">Erika Martinez</t>
  </si>
  <si>
    <t xml:space="preserve">erimar.22@hotmail.com</t>
  </si>
  <si>
    <t xml:space="preserve">Martha Alexandra Alvarez Pisco</t>
  </si>
  <si>
    <t xml:space="preserve">maralvapi@hotmail.com</t>
  </si>
  <si>
    <t xml:space="preserve">Se brinda toda la asesoria y se envia malla curricular al WhatsApp</t>
  </si>
  <si>
    <t xml:space="preserve">Walter Aldaz</t>
  </si>
  <si>
    <t xml:space="preserve">walter.aldaz100@hotmail.com</t>
  </si>
  <si>
    <t xml:space="preserve">Jocy Azua Mite</t>
  </si>
  <si>
    <t xml:space="preserve">jocyazua2019@gmail.com</t>
  </si>
  <si>
    <t xml:space="preserve">David Romero</t>
  </si>
  <si>
    <t xml:space="preserve">david.romero.mendez@hotmail.com</t>
  </si>
  <si>
    <t xml:space="preserve">Rosángela Calderón</t>
  </si>
  <si>
    <t xml:space="preserve">angelacal7@hotmail.com</t>
  </si>
  <si>
    <t xml:space="preserve">Está muy interesada en tomar la modalidad online, estaba en el trabajo y se le complicaba para iniciar el proceso  de inscripción, se agenda nueva llamada para realizar ese proceso </t>
  </si>
  <si>
    <t xml:space="preserve">Estaba en el trabajo, se agenda nueva llamada para mirar proceso  </t>
  </si>
  <si>
    <t xml:space="preserve">Carlos Ponce</t>
  </si>
  <si>
    <t xml:space="preserve">vizueteandres.22@gmail.com</t>
  </si>
  <si>
    <t xml:space="preserve">Genesis Brigette Tomala Clemente</t>
  </si>
  <si>
    <t xml:space="preserve">genesistomala15@hotmail.com</t>
  </si>
  <si>
    <t xml:space="preserve">Cedeño Stefani</t>
  </si>
  <si>
    <t xml:space="preserve">stefanicedeostefania_17@hotmail.com</t>
  </si>
  <si>
    <t xml:space="preserve">Italo Daniel Valle Carreño</t>
  </si>
  <si>
    <t xml:space="preserve">italvalle-89@outlook.com</t>
  </si>
  <si>
    <t xml:space="preserve">Se envía información al correo y se agenda nueva llamada </t>
  </si>
  <si>
    <t xml:space="preserve">Alex Gonzalez</t>
  </si>
  <si>
    <t xml:space="preserve">alexjose_gonzalez94@hotmail.com</t>
  </si>
  <si>
    <t xml:space="preserve">Dayana Rodriguez</t>
  </si>
  <si>
    <t xml:space="preserve">Dayananicolesaavedrarodriguez@gmail.com</t>
  </si>
  <si>
    <t xml:space="preserve">Se asesora, pero estaba en el trabajo entonces pide información al WhatsApp para estar en seguimiento </t>
  </si>
  <si>
    <t xml:space="preserve">Denisse Ramirez de Hurel</t>
  </si>
  <si>
    <t xml:space="preserve">deni_rg77@hotmail.com</t>
  </si>
  <si>
    <t xml:space="preserve">Nany</t>
  </si>
  <si>
    <t xml:space="preserve">stefanybom79@hotmail.com</t>
  </si>
  <si>
    <t xml:space="preserve">Alex LeytoN</t>
  </si>
  <si>
    <t xml:space="preserve">alexleytondavid@hotmail.es</t>
  </si>
  <si>
    <t xml:space="preserve">En el momento no se encuentra interesado</t>
  </si>
  <si>
    <t xml:space="preserve">Isa Ponce</t>
  </si>
  <si>
    <t xml:space="preserve">ysabelponce23@hotmail.com</t>
  </si>
  <si>
    <t xml:space="preserve">Paul Narvaez</t>
  </si>
  <si>
    <t xml:space="preserve">pauln6614@gmail.com</t>
  </si>
  <si>
    <t xml:space="preserve">Se brinda asesoría, se realiza preinscripción y se envían requisitos al correo, indica enviarlos en el transcurso de la semana </t>
  </si>
  <si>
    <t xml:space="preserve">sophia</t>
  </si>
  <si>
    <t xml:space="preserve">kscaizam@hotmail.es</t>
  </si>
  <si>
    <t xml:space="preserve">Mariuxi Garcia</t>
  </si>
  <si>
    <t xml:space="preserve">byron1617g@hotmail.com</t>
  </si>
  <si>
    <t xml:space="preserve">Numero equivocado </t>
  </si>
  <si>
    <t xml:space="preserve">Lissette Cruz Sani</t>
  </si>
  <si>
    <t xml:space="preserve">Liz_emi90@hotmail.com</t>
  </si>
  <si>
    <t xml:space="preserve">Jose Alava</t>
  </si>
  <si>
    <t xml:space="preserve">Josealava181995@gmail.com</t>
  </si>
  <si>
    <t xml:space="preserve">Se asesora, indica que anteriormente ya le habían dado la información por WhatsApp, esta mirando las opciones y hablara al mismo WhatsApp </t>
  </si>
  <si>
    <t xml:space="preserve">Yamile Silva</t>
  </si>
  <si>
    <t xml:space="preserve">yamile_silva2015@hotmail.com</t>
  </si>
  <si>
    <t xml:space="preserve">kathy tenorio</t>
  </si>
  <si>
    <t xml:space="preserve">tenorio97katherine@gmail.com</t>
  </si>
  <si>
    <t xml:space="preserve">Indica que ya no está interesada en tomar la carrera </t>
  </si>
  <si>
    <t xml:space="preserve">Alison Sanabria</t>
  </si>
  <si>
    <t xml:space="preserve">Alisnicole98@hotmail.com</t>
  </si>
  <si>
    <t xml:space="preserve">Patricia Zambrano Bermello</t>
  </si>
  <si>
    <t xml:space="preserve">patriciaza_vidi@hotmail.com</t>
  </si>
  <si>
    <t xml:space="preserve">Jevalehe Quiveba</t>
  </si>
  <si>
    <t xml:space="preserve">jessiquinteros9@gmail.com</t>
  </si>
  <si>
    <t xml:space="preserve">Interesada en enfermeria </t>
  </si>
  <si>
    <t xml:space="preserve">Malena Pincay de Ochoa</t>
  </si>
  <si>
    <t xml:space="preserve">malena8a1985@hotmail.com</t>
  </si>
  <si>
    <t xml:space="preserve">Yesenia Andino Valencia</t>
  </si>
  <si>
    <t xml:space="preserve">yeseniandino@gmail.com</t>
  </si>
  <si>
    <t xml:space="preserve">Lîam Isabêl Töälä</t>
  </si>
  <si>
    <t xml:space="preserve">gloria_97sz_@hotmail.com</t>
  </si>
  <si>
    <t xml:space="preserve">Alexandra Ronquillo</t>
  </si>
  <si>
    <t xml:space="preserve">hectorcastro1216@hotmail.com</t>
  </si>
  <si>
    <t xml:space="preserve">Rosa Sanchez</t>
  </si>
  <si>
    <t xml:space="preserve">rosanathalie@hotmail.com</t>
  </si>
  <si>
    <t xml:space="preserve">Camila cumanda</t>
  </si>
  <si>
    <t xml:space="preserve">camilacumanda@gmail.com</t>
  </si>
  <si>
    <t xml:space="preserve">Luisiño Braviño</t>
  </si>
  <si>
    <t xml:space="preserve">lb77953@gmail.com</t>
  </si>
  <si>
    <t xml:space="preserve">Yahel Verito</t>
  </si>
  <si>
    <t xml:space="preserve">aries.18g@gmail.com</t>
  </si>
  <si>
    <t xml:space="preserve">Lesly Yuquilema Leon</t>
  </si>
  <si>
    <t xml:space="preserve">viviana carolina medranda ortiz</t>
  </si>
  <si>
    <t xml:space="preserve">dulceisabella1921@gmail.com</t>
  </si>
  <si>
    <t xml:space="preserve">Azeico Jordana</t>
  </si>
  <si>
    <t xml:space="preserve">terevuva@gmail.com</t>
  </si>
  <si>
    <t xml:space="preserve">Estaba muy ocupada, se agenda nueva llamada </t>
  </si>
  <si>
    <t xml:space="preserve">Erikitaa Alvaradoo</t>
  </si>
  <si>
    <t xml:space="preserve">k-erip@hotmail.com</t>
  </si>
  <si>
    <t xml:space="preserve">estaba interesada en tomar la modalidad semipresencial</t>
  </si>
  <si>
    <t xml:space="preserve">Jennifer Ivonne Pimentel Romero</t>
  </si>
  <si>
    <t xml:space="preserve">jenniferpimentel95@hotmail.com</t>
  </si>
  <si>
    <t xml:space="preserve">En el  momento no se encuentra interesada </t>
  </si>
  <si>
    <t xml:space="preserve">Mia Guadalupe Gene Chica Almeida</t>
  </si>
  <si>
    <t xml:space="preserve">genesischica36@gmail.com</t>
  </si>
  <si>
    <t xml:space="preserve">Laly Pardo G</t>
  </si>
  <si>
    <t xml:space="preserve">lalylaura10@gmail.com</t>
  </si>
  <si>
    <t xml:space="preserve">Absalom Levitico</t>
  </si>
  <si>
    <t xml:space="preserve">pisraeldavid@yahoo.com</t>
  </si>
  <si>
    <t xml:space="preserve">Gustavo Javier Robalino Nuñez</t>
  </si>
  <si>
    <t xml:space="preserve">t_avito15@hotmail.com</t>
  </si>
  <si>
    <t xml:space="preserve">Diego Fabian Montufar</t>
  </si>
  <si>
    <t xml:space="preserve">diego_fabianmg@outlook.com</t>
  </si>
  <si>
    <t xml:space="preserve">Ronald abril flores</t>
  </si>
  <si>
    <t xml:space="preserve">ronaldaaf26@gmail.com</t>
  </si>
  <si>
    <t xml:space="preserve">Lorena Viviana Marcillo Vélez</t>
  </si>
  <si>
    <t xml:space="preserve">lorenavivianavivi@hotmail.com</t>
  </si>
  <si>
    <t xml:space="preserve">Vanessa Ayala Franco</t>
  </si>
  <si>
    <t xml:space="preserve">eloisa_ayala2016@hotmail.com</t>
  </si>
  <si>
    <t xml:space="preserve">Joel Soledispa</t>
  </si>
  <si>
    <t xml:space="preserve">joel_07_14@hotmail.com</t>
  </si>
  <si>
    <t xml:space="preserve">No interesado en la licenciatura </t>
  </si>
  <si>
    <t xml:space="preserve">Alma Nardella</t>
  </si>
  <si>
    <t xml:space="preserve">vanessanardella29@gmail.com</t>
  </si>
  <si>
    <t xml:space="preserve">sandra lliguin</t>
  </si>
  <si>
    <t xml:space="preserve">miguichl23@hotmail.com</t>
  </si>
  <si>
    <t xml:space="preserve">Liss Lopz</t>
  </si>
  <si>
    <t xml:space="preserve">lisslopz@hotmail.com</t>
  </si>
  <si>
    <t xml:space="preserve">Marissa Espinoza Villon</t>
  </si>
  <si>
    <t xml:space="preserve">maisa_25@hotmail.es</t>
  </si>
  <si>
    <t xml:space="preserve">Angelica Franco Muñoz de Diaz</t>
  </si>
  <si>
    <t xml:space="preserve">angiepooh28@hotmail.com</t>
  </si>
  <si>
    <t xml:space="preserve">Diana Cortéz</t>
  </si>
  <si>
    <t xml:space="preserve">dianapau92@gmail.com</t>
  </si>
  <si>
    <t xml:space="preserve">Marco Antonio Larraga Barba</t>
  </si>
  <si>
    <t xml:space="preserve">criaderosanjorgeml@yahoo.com</t>
  </si>
  <si>
    <t xml:space="preserve">Se brinda información al WhatsApp, se mantiene seguimiento </t>
  </si>
  <si>
    <t xml:space="preserve">Silvia Maza</t>
  </si>
  <si>
    <t xml:space="preserve">exportacion.logistica@gmail.com</t>
  </si>
  <si>
    <t xml:space="preserve">Evelyn Merizalde</t>
  </si>
  <si>
    <t xml:space="preserve">eambevi@hotmail.com</t>
  </si>
  <si>
    <t xml:space="preserve">Mayra Rosales</t>
  </si>
  <si>
    <t xml:space="preserve">mayrarosales587@gmail.com</t>
  </si>
  <si>
    <t xml:space="preserve">Magui Guerreal</t>
  </si>
  <si>
    <t xml:space="preserve">irmamargaritaguerreroreal@hotmail.com</t>
  </si>
  <si>
    <t xml:space="preserve">Se Asesora, Indica Que Va A Mirar Todo El Proceso Y Se ComunicarÁ Por Whastapp</t>
  </si>
  <si>
    <t xml:space="preserve">Katiuska Guerrero Guillén</t>
  </si>
  <si>
    <t xml:space="preserve">kasis_5@hotmail.com</t>
  </si>
  <si>
    <t xml:space="preserve">Paulette Cruz</t>
  </si>
  <si>
    <t xml:space="preserve">paustefanny1992@gmail.com</t>
  </si>
  <si>
    <t xml:space="preserve">Andres Barroso Peña</t>
  </si>
  <si>
    <t xml:space="preserve">andres_k87@yahoo.com</t>
  </si>
  <si>
    <t xml:space="preserve">Indica que trabaja en un barco y no le queda disponible la modalidad semipresencial para asistir a la universidad a tomar la maestría  </t>
  </si>
  <si>
    <t xml:space="preserve">Emmy Benavides</t>
  </si>
  <si>
    <t xml:space="preserve">emmy_ailyn@hotmail.com</t>
  </si>
  <si>
    <t xml:space="preserve">Indica asistir directamente  a la universidad la proxima semana despues del lunes 28 de enero </t>
  </si>
  <si>
    <t xml:space="preserve">Edward Loor</t>
  </si>
  <si>
    <t xml:space="preserve">edwloor@hotmail.com</t>
  </si>
  <si>
    <t xml:space="preserve">Patricia Triana Ibarra</t>
  </si>
  <si>
    <t xml:space="preserve">pato_triana@hotmail.com</t>
  </si>
  <si>
    <t xml:space="preserve">Se envía correo con información y se acercara directamente  a la UTEG cuando mire la información </t>
  </si>
  <si>
    <t xml:space="preserve">Carlos Castro</t>
  </si>
  <si>
    <t xml:space="preserve">dcastrogu_1986@hotmail.com</t>
  </si>
  <si>
    <t xml:space="preserve">Jeancarlos CTa</t>
  </si>
  <si>
    <t xml:space="preserve">jcarlos.19885@gmail.com</t>
  </si>
  <si>
    <t xml:space="preserve">Interesado en maestrias a distancia </t>
  </si>
  <si>
    <t xml:space="preserve">Natasha Chagerben</t>
  </si>
  <si>
    <t xml:space="preserve">c.e.aqua@hotmail.com</t>
  </si>
  <si>
    <t xml:space="preserve">Se envía información al correo ya que iva conduciendo y lo le era posible recibir la asesoría  </t>
  </si>
  <si>
    <t xml:space="preserve">Rea Ramirez Jorge Ojitos</t>
  </si>
  <si>
    <t xml:space="preserve">jorgemrea92@gmail.com</t>
  </si>
  <si>
    <t xml:space="preserve">Andres David Cedeño</t>
  </si>
  <si>
    <t xml:space="preserve">dav_ced_plu@hotmail.com</t>
  </si>
  <si>
    <t xml:space="preserve">Michelle Holguin Holguin</t>
  </si>
  <si>
    <t xml:space="preserve">aldairashley22@gmail.com</t>
  </si>
  <si>
    <t xml:space="preserve">Priscila de Alban</t>
  </si>
  <si>
    <t xml:space="preserve">priscila_j24@yahoo.com</t>
  </si>
  <si>
    <t xml:space="preserve">Genesis Gabriela Jurado Zambrano</t>
  </si>
  <si>
    <t xml:space="preserve">gabrielajz1907@gmail.com</t>
  </si>
  <si>
    <t xml:space="preserve">Alejandra Murillo Aguirre</t>
  </si>
  <si>
    <t xml:space="preserve">alejamurilloac@hotmail.com</t>
  </si>
  <si>
    <t xml:space="preserve">Johana Cuzco San Andrés</t>
  </si>
  <si>
    <t xml:space="preserve">johanacuzco@hotmail.com</t>
  </si>
  <si>
    <t xml:space="preserve">Se asesora, se envía información al correo y se agenda nueva llamada para aclarar posibles dudas </t>
  </si>
  <si>
    <t xml:space="preserve">Evelyn Solis Loyola</t>
  </si>
  <si>
    <t xml:space="preserve">evelyn_baby91@hotmail.com</t>
  </si>
  <si>
    <t xml:space="preserve">Se asesora, se envía información al correo electrónico indica responder el mismo correo </t>
  </si>
  <si>
    <t xml:space="preserve">Edinson Guillerno Cruz Pineda</t>
  </si>
  <si>
    <t xml:space="preserve">gueduz136@hotmail.com</t>
  </si>
  <si>
    <t xml:space="preserve">Genesis Moreira</t>
  </si>
  <si>
    <t xml:space="preserve">genetmb@hotmail.com</t>
  </si>
  <si>
    <t xml:space="preserve">Se envía correo con información con todas las maestrías disponibles  y se agenda nueva llamada</t>
  </si>
  <si>
    <t xml:space="preserve">Bryan Tigrero Franco</t>
  </si>
  <si>
    <t xml:space="preserve">junior1990_ok@hotmail.com</t>
  </si>
  <si>
    <t xml:space="preserve">Se asesora sobre la ingeniería, se agenda nueva llamada para ver que ha pensado </t>
  </si>
  <si>
    <t xml:space="preserve">Jorge Luis Cornejo Torres</t>
  </si>
  <si>
    <t xml:space="preserve">jorge-torres1986@hotmail.com</t>
  </si>
  <si>
    <t xml:space="preserve">Barco Erwin</t>
  </si>
  <si>
    <t xml:space="preserve">barco-1992@hotmail.com</t>
  </si>
  <si>
    <t xml:space="preserve">Estaba en el hospital con un paciente, se agenda nueva llamada</t>
  </si>
  <si>
    <t xml:space="preserve">Jonathan Leonardo Lima Ordeñana</t>
  </si>
  <si>
    <t xml:space="preserve">lima-92@outlook.com</t>
  </si>
  <si>
    <t xml:space="preserve">Karla Yulan</t>
  </si>
  <si>
    <t xml:space="preserve">karlayulanr@gmail.com</t>
  </si>
  <si>
    <t xml:space="preserve">Juan Carlos Palma Veloz</t>
  </si>
  <si>
    <t xml:space="preserve">Jcpalvel07@outlook.com</t>
  </si>
  <si>
    <t xml:space="preserve">Rovin Billa</t>
  </si>
  <si>
    <t xml:space="preserve">ruben69_em@hotmail.es</t>
  </si>
  <si>
    <t xml:space="preserve">Angelito Suconota</t>
  </si>
  <si>
    <t xml:space="preserve">angelsuconota@hotmail.es</t>
  </si>
  <si>
    <t xml:space="preserve">Marita Del Cisne Ruiz Serrano Madecis</t>
  </si>
  <si>
    <t xml:space="preserve">maritaruiz_15@hotmail.com</t>
  </si>
  <si>
    <t xml:space="preserve">Alejandra Alvia</t>
  </si>
  <si>
    <t xml:space="preserve">aleja94alvia@hotmail.com</t>
  </si>
  <si>
    <t xml:space="preserve">CecyAn Parra</t>
  </si>
  <si>
    <t xml:space="preserve">cecy_paramed@hotmail.com</t>
  </si>
  <si>
    <t xml:space="preserve">Se brinda asesoría, se agenda nueva llamada para mirar qué ha pensado, indica que va ingresar  a la pagina para ver nuevamente las carreras que se ofertan </t>
  </si>
  <si>
    <t xml:space="preserve">Javico Javico</t>
  </si>
  <si>
    <t xml:space="preserve">javierjimenez1998wjr@gmail.com</t>
  </si>
  <si>
    <t xml:space="preserve">Adela Alvarez</t>
  </si>
  <si>
    <t xml:space="preserve">estefaniaveraadelaalvarez@hotmail.com</t>
  </si>
  <si>
    <t xml:space="preserve">Andrea Chicaiza de Bejar</t>
  </si>
  <si>
    <t xml:space="preserve">chicaiza.andrea@hotmail.com</t>
  </si>
  <si>
    <t xml:space="preserve">Jackson Mizhquiri</t>
  </si>
  <si>
    <t xml:space="preserve">jaivmizh21@gmail.com</t>
  </si>
  <si>
    <t xml:space="preserve">Jonathan Garofalo</t>
  </si>
  <si>
    <t xml:space="preserve">jonathan-emelexista@hotmail.com</t>
  </si>
  <si>
    <t xml:space="preserve">se agenda nueva llamada, estaba en el trabajo </t>
  </si>
  <si>
    <t xml:space="preserve">Nayelli Garcia Vasquez</t>
  </si>
  <si>
    <t xml:space="preserve">gimabelle01@hotmail.com</t>
  </si>
  <si>
    <t xml:space="preserve">Maribel Severino</t>
  </si>
  <si>
    <t xml:space="preserve">miriamgorotiza@hotmail.com</t>
  </si>
  <si>
    <t xml:space="preserve">Carlitos Peñafiel Reyes Bsc</t>
  </si>
  <si>
    <t xml:space="preserve">Carlosp_1989@hotmail.com</t>
  </si>
  <si>
    <t xml:space="preserve">David Vidal Bermello</t>
  </si>
  <si>
    <t xml:space="preserve">dvidalbermello@gmail.com</t>
  </si>
  <si>
    <t xml:space="preserve">Se agenda nueva llamada para seguir con informacion ya que estaba en el trabajo </t>
  </si>
  <si>
    <t xml:space="preserve">Josué ZamBrano</t>
  </si>
  <si>
    <t xml:space="preserve">josuezambrano1986@hotmail.com</t>
  </si>
  <si>
    <t xml:space="preserve">Emily Cordova</t>
  </si>
  <si>
    <t xml:space="preserve">emilycordova1011@gmail.com</t>
  </si>
  <si>
    <t xml:space="preserve">Carolina Romero</t>
  </si>
  <si>
    <t xml:space="preserve">patriciar72@hotmail.com</t>
  </si>
  <si>
    <t xml:space="preserve">Se envía información al correo de todas las modalidades y se agenda nueva llamada para mirar qué ha pensado </t>
  </si>
  <si>
    <t xml:space="preserve">Joao LS</t>
  </si>
  <si>
    <t xml:space="preserve">jormanking@gmail.com</t>
  </si>
  <si>
    <t xml:space="preserve">Indica que se va acercar directamente a la universidad </t>
  </si>
  <si>
    <t xml:space="preserve">Ximena Lima</t>
  </si>
  <si>
    <t xml:space="preserve">ximenalima05@gmail.com</t>
  </si>
  <si>
    <t xml:space="preserve">CINTHIA RUIZ🍀</t>
  </si>
  <si>
    <t xml:space="preserve">cinthiaruiz18@hotmail.com</t>
  </si>
  <si>
    <t xml:space="preserve">Se asesora, se agenda nueva llamada para mirar que ha pensado </t>
  </si>
  <si>
    <t xml:space="preserve">Azu Beni</t>
  </si>
  <si>
    <t xml:space="preserve">azubenihol@hotmail.com</t>
  </si>
  <si>
    <t xml:space="preserve">Camila Sabando</t>
  </si>
  <si>
    <t xml:space="preserve">Cami1bcont@gmail.com</t>
  </si>
  <si>
    <t xml:space="preserve">Maria Elizabet Pincay</t>
  </si>
  <si>
    <t xml:space="preserve">Eli.mar.pincay@hotmail.com</t>
  </si>
  <si>
    <t xml:space="preserve">Jean Carlos Osorio Garcia</t>
  </si>
  <si>
    <t xml:space="preserve">Ya.n.kee95@hotmail.com</t>
  </si>
  <si>
    <t xml:space="preserve">Evelyn Zambrano</t>
  </si>
  <si>
    <t xml:space="preserve">lyn8700@hotmail.com</t>
  </si>
  <si>
    <t xml:space="preserve">Jorge Leo Rodríguez</t>
  </si>
  <si>
    <t xml:space="preserve">Bradydaryl@hotmail.com</t>
  </si>
  <si>
    <t xml:space="preserve">Victor German Astudillo Villacis</t>
  </si>
  <si>
    <t xml:space="preserve">asvicam5@hotmail.com</t>
  </si>
  <si>
    <t xml:space="preserve">Ray Silva Ortega</t>
  </si>
  <si>
    <t xml:space="preserve">totoy_ray@outlook.com</t>
  </si>
  <si>
    <t xml:space="preserve">Andrea Shunaula</t>
  </si>
  <si>
    <t xml:space="preserve">andreashunaula98@gmail.com</t>
  </si>
  <si>
    <t xml:space="preserve">Se brinda información, indica que por ahora está mirando varias universidades, se comunicara cuando tenga respuesta </t>
  </si>
  <si>
    <t xml:space="preserve">Junior Montiel</t>
  </si>
  <si>
    <t xml:space="preserve">junior87montiel@gmail.com</t>
  </si>
  <si>
    <t xml:space="preserve">Nicky Garófalo</t>
  </si>
  <si>
    <t xml:space="preserve">yarythebest40@gmail.com</t>
  </si>
  <si>
    <t xml:space="preserve">Indica que ya tiene la información en el correo y la está analizando </t>
  </si>
  <si>
    <t xml:space="preserve">Se envía información al correo, se agenda nueva llamada </t>
  </si>
  <si>
    <t xml:space="preserve">Isaura Alarcón Prado</t>
  </si>
  <si>
    <t xml:space="preserve">nena.i@hotmail.es</t>
  </si>
  <si>
    <t xml:space="preserve">Diana Aldaz</t>
  </si>
  <si>
    <t xml:space="preserve">diana_aldaz@hotmail.com</t>
  </si>
  <si>
    <t xml:space="preserve">Se envía información al correo, se agenda nueva llamada  </t>
  </si>
  <si>
    <t xml:space="preserve">Julio Ernesto Contero Romero</t>
  </si>
  <si>
    <t xml:space="preserve">juliocontero@hotmail.com</t>
  </si>
  <si>
    <t xml:space="preserve">Lili</t>
  </si>
  <si>
    <t xml:space="preserve">nh_lilianad@hotmail.com</t>
  </si>
  <si>
    <t xml:space="preserve">Se asesora, queda en comunicarse cuando tome una decisión  </t>
  </si>
  <si>
    <t xml:space="preserve">Ale Pérez</t>
  </si>
  <si>
    <t xml:space="preserve">mcperez8789@hotmail.com</t>
  </si>
  <si>
    <t xml:space="preserve">Se  envía información de maestrías al correo electrónico, se agenda nueva llamada para ver si llego el correo y si desea tomar la maestría </t>
  </si>
  <si>
    <t xml:space="preserve">Mari Quezada</t>
  </si>
  <si>
    <t xml:space="preserve">maricelaquezada1990@hotmail.com</t>
  </si>
  <si>
    <t xml:space="preserve">Gabriela Meza</t>
  </si>
  <si>
    <t xml:space="preserve">gabri-liz@outlook.com</t>
  </si>
  <si>
    <t xml:space="preserve">sara lopez villa</t>
  </si>
  <si>
    <t xml:space="preserve">slopez_pichincha@hotmail.com</t>
  </si>
  <si>
    <t xml:space="preserve">devuelve la llamada al Softphone, se asesora en todas las modalidades, y se brinda toda la información por WhastApp </t>
  </si>
  <si>
    <t xml:space="preserve">Blanca Bermudez</t>
  </si>
  <si>
    <t xml:space="preserve">blanca.bermudez@edu.gob.ec</t>
  </si>
  <si>
    <t xml:space="preserve">Estaba en clase, se agenda nueva llamada</t>
  </si>
  <si>
    <t xml:space="preserve">Carolina Briones</t>
  </si>
  <si>
    <t xml:space="preserve">mayritap97@outlook.com</t>
  </si>
  <si>
    <t xml:space="preserve">Anita Belén Flores de Laina</t>
  </si>
  <si>
    <t xml:space="preserve">colorada_pixioza@hotmail.com</t>
  </si>
  <si>
    <t xml:space="preserve">Mayito Ely Mera Gonzalez</t>
  </si>
  <si>
    <t xml:space="preserve">mayito-851@hotmail.com</t>
  </si>
  <si>
    <t xml:space="preserve">Estaba viajando, se agenda nueva llamada </t>
  </si>
  <si>
    <t xml:space="preserve">Gemita Pazmiño Zambrano</t>
  </si>
  <si>
    <t xml:space="preserve">gemy_katty@hotmail.com</t>
  </si>
  <si>
    <t xml:space="preserve">Karla Castillo Villamar</t>
  </si>
  <si>
    <t xml:space="preserve">kcastillo.fce@gmail.com</t>
  </si>
  <si>
    <t xml:space="preserve">Está terminando aun el colegio, indica acercarse a la universidad cuando ya esté preparada y tenga los documentos </t>
  </si>
  <si>
    <t xml:space="preserve">Jonathan Peligro</t>
  </si>
  <si>
    <t xml:space="preserve">dixon.benavides1@gmail.com</t>
  </si>
  <si>
    <t xml:space="preserve">Anibal Bastidas</t>
  </si>
  <si>
    <t xml:space="preserve">ani_dj5@hotmail.com</t>
  </si>
  <si>
    <t xml:space="preserve">Garcia Rojas Gabriela Denny</t>
  </si>
  <si>
    <t xml:space="preserve">gabrielarojas_90@hotmail.com</t>
  </si>
  <si>
    <t xml:space="preserve">Alexander Yepez</t>
  </si>
  <si>
    <t xml:space="preserve">maximo-martinez6@hotmail.com</t>
  </si>
  <si>
    <t xml:space="preserve">Andrea Rosado</t>
  </si>
  <si>
    <t xml:space="preserve">naem_1987@hotmail.com</t>
  </si>
  <si>
    <t xml:space="preserve">SilviAlexss URivera</t>
  </si>
  <si>
    <t xml:space="preserve">alex_mor_ty@hotmail.com</t>
  </si>
  <si>
    <t xml:space="preserve">Joel Zambrano</t>
  </si>
  <si>
    <t xml:space="preserve">joelzambrano182@gmail.com</t>
  </si>
  <si>
    <t xml:space="preserve">Se brinda asesoria, se agenda nueva llamada para mirar que desicion a tomado </t>
  </si>
  <si>
    <t xml:space="preserve">Jamileth Cun</t>
  </si>
  <si>
    <t xml:space="preserve">jamilec.princesita@gmail.com</t>
  </si>
  <si>
    <t xml:space="preserve">Elizabeth JP</t>
  </si>
  <si>
    <t xml:space="preserve">dayannajaramilloperez@gmail.com</t>
  </si>
  <si>
    <t xml:space="preserve">Dennisse Rivera</t>
  </si>
  <si>
    <t xml:space="preserve">dennisse.escorpion@hotmail.com</t>
  </si>
  <si>
    <t xml:space="preserve">Se agenda nueva llamada para mirar que ha pensado ya que está mirando todas las universidades posibles </t>
  </si>
  <si>
    <t xml:space="preserve">Sergio Cruz</t>
  </si>
  <si>
    <t xml:space="preserve">sergiocruzc@hotmail.com</t>
  </si>
  <si>
    <t xml:space="preserve">Denisse Madeley Vargas Cabezas</t>
  </si>
  <si>
    <t xml:space="preserve">denisseatleta@gmail.com</t>
  </si>
  <si>
    <t xml:space="preserve">Jenny Condo</t>
  </si>
  <si>
    <t xml:space="preserve">jenny_condo@hotmail.com</t>
  </si>
  <si>
    <t xml:space="preserve">La Reyna De Mi Casa</t>
  </si>
  <si>
    <t xml:space="preserve">lanena_jessiplus@hotmail.com</t>
  </si>
  <si>
    <t xml:space="preserve">Wilson Makao</t>
  </si>
  <si>
    <t xml:space="preserve">willmacao@gmail.com</t>
  </si>
  <si>
    <t xml:space="preserve">Maria Pino</t>
  </si>
  <si>
    <t xml:space="preserve">isabel_pino81@hotmail.com</t>
  </si>
  <si>
    <t xml:space="preserve">Se brinda toda la asesoría, se agenda nueva llamada para mirar si va a iniciar proceso ya que  lo va a platicar con la familia </t>
  </si>
  <si>
    <t xml:space="preserve">Maria Fernanda Millan Burgos</t>
  </si>
  <si>
    <t xml:space="preserve">mariamillanburgos@gmail.com</t>
  </si>
  <si>
    <t xml:space="preserve">Jimena Sanchez Perez</t>
  </si>
  <si>
    <t xml:space="preserve">ximenasanchezp@gmail.com</t>
  </si>
  <si>
    <t xml:space="preserve">Luis Eduardo Villa Parreño</t>
  </si>
  <si>
    <t xml:space="preserve">eduardoluisvillap@yahoo.es</t>
  </si>
  <si>
    <t xml:space="preserve">Naku Naju</t>
  </si>
  <si>
    <t xml:space="preserve">nakuelpoderoso@gmail.com</t>
  </si>
  <si>
    <t xml:space="preserve">Gina Gallon</t>
  </si>
  <si>
    <t xml:space="preserve">gina_gigc@hotmail.com</t>
  </si>
  <si>
    <t xml:space="preserve">Zenaida Mariela Freire</t>
  </si>
  <si>
    <t xml:space="preserve">marielafrey@hotmail.es</t>
  </si>
  <si>
    <t xml:space="preserve">Dario Xavier</t>
  </si>
  <si>
    <t xml:space="preserve">dariojsanchezg@gmail.com</t>
  </si>
  <si>
    <t xml:space="preserve">Se brinda asesoría y se realiza preinscripción, se envían requisitos al correo para estar en seguimiento  </t>
  </si>
  <si>
    <t xml:space="preserve">Yomaira Avilés A</t>
  </si>
  <si>
    <t xml:space="preserve">angy3@hotmail.es</t>
  </si>
  <si>
    <t xml:space="preserve">Se envía información al correo con las maestrías y queda en da respuesta al correo </t>
  </si>
  <si>
    <t xml:space="preserve">Guadalupe Vite Parrales</t>
  </si>
  <si>
    <t xml:space="preserve">lupevite593@gmail.com</t>
  </si>
  <si>
    <t xml:space="preserve">Se asesora e indica que desea mirar bien la informacion, se envia correo y se agenda nueva llamada </t>
  </si>
  <si>
    <t xml:space="preserve">Olga Maria Guevara Gomez</t>
  </si>
  <si>
    <t xml:space="preserve">olgaguevara1990@gmail.com</t>
  </si>
  <si>
    <t xml:space="preserve">Carlos Cueva</t>
  </si>
  <si>
    <t xml:space="preserve">carjoscuearm@hotmail.com</t>
  </si>
  <si>
    <t xml:space="preserve">Pamela Nicolalde</t>
  </si>
  <si>
    <t xml:space="preserve">pam_nicol88@hotmail.es</t>
  </si>
  <si>
    <t xml:space="preserve">Francisco Macio</t>
  </si>
  <si>
    <t xml:space="preserve">fco_macio@hotmail.com</t>
  </si>
  <si>
    <t xml:space="preserve">Andrea Chuiza</t>
  </si>
  <si>
    <t xml:space="preserve">andy_saori0789@hotmail.com</t>
  </si>
  <si>
    <t xml:space="preserve">Diego Chiluiza Lopez</t>
  </si>
  <si>
    <t xml:space="preserve">diego_chiluiza@hotmail.com</t>
  </si>
  <si>
    <t xml:space="preserve">Carlos Eduardo Carreño Serrano</t>
  </si>
  <si>
    <t xml:space="preserve">ingenierocom@outlook.es</t>
  </si>
  <si>
    <t xml:space="preserve">Angelo Ruiz</t>
  </si>
  <si>
    <t xml:space="preserve">angelo_19dr@hotmail.com</t>
  </si>
  <si>
    <t xml:space="preserve">Se brinda toda la asesoría, se agenda nueva llamada para mirar qué ha pensado, ya que le va a dar la información a la esposa por que los dos desean tomar la maestría  </t>
  </si>
  <si>
    <t xml:space="preserve">Leonardo Moscoso Jordán</t>
  </si>
  <si>
    <t xml:space="preserve">lmoscoso2004@hotmail.com</t>
  </si>
  <si>
    <t xml:space="preserve">Carlos Luis Llerena</t>
  </si>
  <si>
    <t xml:space="preserve">carlosluis_2518@hotmail.com</t>
  </si>
  <si>
    <t xml:space="preserve">Gabriela Celeste CH</t>
  </si>
  <si>
    <t xml:space="preserve">gabriela.celeste@yahoo.com</t>
  </si>
  <si>
    <t xml:space="preserve">Vilma Mercedes</t>
  </si>
  <si>
    <t xml:space="preserve">mercedesbalseca@hotmail.com</t>
  </si>
  <si>
    <t xml:space="preserve">Liz Valentiina</t>
  </si>
  <si>
    <t xml:space="preserve">Lokura-23@hotmail.com</t>
  </si>
  <si>
    <t xml:space="preserve">Bryan Cšë</t>
  </si>
  <si>
    <t xml:space="preserve">151bloor@gmail.com</t>
  </si>
  <si>
    <t xml:space="preserve">Stephanie Simisterra</t>
  </si>
  <si>
    <t xml:space="preserve">steffykatty@hotmail.com</t>
  </si>
  <si>
    <t xml:space="preserve">Se envía información al correo electrónico, se agenda nueva llamada para mirar que ha pensado sobre la información </t>
  </si>
  <si>
    <t xml:space="preserve">se envia informacion</t>
  </si>
  <si>
    <t xml:space="preserve">Andrea Ayala</t>
  </si>
  <si>
    <t xml:space="preserve">lasamba1985@hotmail.com</t>
  </si>
  <si>
    <t xml:space="preserve">Joselin Rodriguez</t>
  </si>
  <si>
    <t xml:space="preserve">rjoselin_1990@hotmail.com</t>
  </si>
  <si>
    <t xml:space="preserve">Sindy Bone</t>
  </si>
  <si>
    <t xml:space="preserve">sin-yul-@hotmail.com</t>
  </si>
  <si>
    <t xml:space="preserve">Ing Jezabell Leon Forte Villacres</t>
  </si>
  <si>
    <t xml:space="preserve">lojeviar_79@hotmail.com</t>
  </si>
  <si>
    <t xml:space="preserve">Nicol Palacios</t>
  </si>
  <si>
    <t xml:space="preserve">gaby.ni.p92@hotmail.com</t>
  </si>
  <si>
    <t xml:space="preserve">Tania Cecibel Palacios Medina</t>
  </si>
  <si>
    <t xml:space="preserve">tania_cecibel82@hotmail.com</t>
  </si>
  <si>
    <t xml:space="preserve">Mishell Lindao</t>
  </si>
  <si>
    <t xml:space="preserve">mishel.li@live.com</t>
  </si>
  <si>
    <t xml:space="preserve">ELisiita Espinoza</t>
  </si>
  <si>
    <t xml:space="preserve">eyev10@hotmail.com</t>
  </si>
  <si>
    <t xml:space="preserve">Andres Martillo</t>
  </si>
  <si>
    <t xml:space="preserve">andresmartillo87@hotmail.com</t>
  </si>
  <si>
    <t xml:space="preserve">Kevin Lopez</t>
  </si>
  <si>
    <t xml:space="preserve">markangel1901@gmail.com</t>
  </si>
  <si>
    <t xml:space="preserve">Fernando Joan Torres Miranda</t>
  </si>
  <si>
    <t xml:space="preserve">fernanditotomi@gmail.com</t>
  </si>
  <si>
    <t xml:space="preserve">Jack Moncada</t>
  </si>
  <si>
    <t xml:space="preserve">jack-alberto@hotmail.com</t>
  </si>
  <si>
    <t xml:space="preserve">Se brinda asesoría, indica que está aún rindiendo las pruebas del colegio, y que luego se acercará directamente a la universidad </t>
  </si>
  <si>
    <t xml:space="preserve">Cinthya Sánchez Alcívar</t>
  </si>
  <si>
    <t xml:space="preserve">cinthyasanchez.al@gmail.com</t>
  </si>
  <si>
    <t xml:space="preserve">Contestó la mamá, estaba en el trabajo, se agenda nueva llamada para darle la información  </t>
  </si>
  <si>
    <t xml:space="preserve">Mafer Ruiz</t>
  </si>
  <si>
    <t xml:space="preserve">mariafernandaruiz_@hotmail.com</t>
  </si>
  <si>
    <t xml:space="preserve">Genesis Vivas</t>
  </si>
  <si>
    <t xml:space="preserve">genesista0803@hotmail.com</t>
  </si>
  <si>
    <t xml:space="preserve">R O B I N C H I L A N</t>
  </si>
  <si>
    <t xml:space="preserve">rbnchilan8@gmail.com</t>
  </si>
  <si>
    <t xml:space="preserve">Se brinda asesoría,  cuelga la llamada , se agenda nueva llamada </t>
  </si>
  <si>
    <t xml:space="preserve">Jaīrö Alcīvăr Brīonĕs</t>
  </si>
  <si>
    <t xml:space="preserve">alcivarbriones@gmail.com</t>
  </si>
  <si>
    <t xml:space="preserve">Anita Espin</t>
  </si>
  <si>
    <t xml:space="preserve">anitaespinmarcillo@gmail.com</t>
  </si>
  <si>
    <t xml:space="preserve">Susan M Castro</t>
  </si>
  <si>
    <t xml:space="preserve">susancastro-1997@hotmail.com</t>
  </si>
  <si>
    <t xml:space="preserve">Guaman Javier</t>
  </si>
  <si>
    <t xml:space="preserve">javi.g3018@gmail.com</t>
  </si>
  <si>
    <t xml:space="preserve">Se agenda nueva llamada para mirar si va a iniciar proceso </t>
  </si>
  <si>
    <t xml:space="preserve">Adriana Cedillo</t>
  </si>
  <si>
    <t xml:space="preserve">m.cedilloq@jardinazuayo.fin</t>
  </si>
  <si>
    <t xml:space="preserve">Marcel Sancán Baque</t>
  </si>
  <si>
    <t xml:space="preserve">marcel.sancan@yahoo.com</t>
  </si>
  <si>
    <t xml:space="preserve">Verónica Solari</t>
  </si>
  <si>
    <t xml:space="preserve">solari.veronica@hotmail.com</t>
  </si>
  <si>
    <t xml:space="preserve">Se envía información al correo, se agenda nueva llamada para mirar si va a iniciar proceso </t>
  </si>
  <si>
    <t xml:space="preserve">Byron Jara Palacios</t>
  </si>
  <si>
    <t xml:space="preserve">byron_03-1990@hotmail.com</t>
  </si>
  <si>
    <t xml:space="preserve">Greis Vaca</t>
  </si>
  <si>
    <t xml:space="preserve">greisvaca2000@gmail.com</t>
  </si>
  <si>
    <t xml:space="preserve">No contesta se informacion por correo</t>
  </si>
  <si>
    <t xml:space="preserve">Genesis Garcia</t>
  </si>
  <si>
    <t xml:space="preserve">gggp.1317000782@gmail.com</t>
  </si>
  <si>
    <t xml:space="preserve">Se contacta se brinda informacion e indica que lo va a concultar con el papa volver a llamar el 25/01</t>
  </si>
  <si>
    <t xml:space="preserve">Gatita Davila</t>
  </si>
  <si>
    <t xml:space="preserve">jessicadavila1991@hotmail.com</t>
  </si>
  <si>
    <t xml:space="preserve">Indica que va analizar la propuesta volver a llamar el viernes 25/01</t>
  </si>
  <si>
    <t xml:space="preserve">Daysi Acosta</t>
  </si>
  <si>
    <t xml:space="preserve">daysiacosta102712@gmail.com</t>
  </si>
  <si>
    <t xml:space="preserve">Rosa Melba Valencia Bereche</t>
  </si>
  <si>
    <t xml:space="preserve">rossy_melba@gmail.com</t>
  </si>
  <si>
    <t xml:space="preserve">Julio Andres Sanchez Romero</t>
  </si>
  <si>
    <t xml:space="preserve">julioandressanchezromero@gmail.com</t>
  </si>
  <si>
    <t xml:space="preserve">Cristhian Diaz</t>
  </si>
  <si>
    <t xml:space="preserve">cristhian0118dm@gmail.com</t>
  </si>
  <si>
    <t xml:space="preserve">Wilson Rodolfo Flores Solis</t>
  </si>
  <si>
    <t xml:space="preserve">wilsonf.7@outlook.com</t>
  </si>
  <si>
    <t xml:space="preserve">Sebastian Vaca</t>
  </si>
  <si>
    <t xml:space="preserve">reysebas.vaca@gmail.com</t>
  </si>
  <si>
    <t xml:space="preserve">Leila M. Mont</t>
  </si>
  <si>
    <t xml:space="preserve">leimar_89@hotmail.com</t>
  </si>
  <si>
    <t xml:space="preserve">Maria Zambrano Reyna</t>
  </si>
  <si>
    <t xml:space="preserve">mariazambrano91@hotmail.com</t>
  </si>
  <si>
    <t xml:space="preserve">angelica merchan</t>
  </si>
  <si>
    <t xml:space="preserve">merchanangelica15@gmail.com</t>
  </si>
  <si>
    <t xml:space="preserve">Denisse</t>
  </si>
  <si>
    <t xml:space="preserve">dgranizo90@gmail.com</t>
  </si>
  <si>
    <t xml:space="preserve">lady espinoza</t>
  </si>
  <si>
    <t xml:space="preserve">gplanta@nirsa.com</t>
  </si>
  <si>
    <t xml:space="preserve">Emma Torres</t>
  </si>
  <si>
    <t xml:space="preserve">torresjaritza1@gmail.com</t>
  </si>
  <si>
    <t xml:space="preserve">Jhony Vera</t>
  </si>
  <si>
    <t xml:space="preserve">jhonijairovera@hotmail.com</t>
  </si>
  <si>
    <t xml:space="preserve">Luigi Merchán</t>
  </si>
  <si>
    <t xml:space="preserve">viclui20@gmail.com</t>
  </si>
  <si>
    <t xml:space="preserve">OA Emi</t>
  </si>
  <si>
    <t xml:space="preserve">EmilyOlmedo203015@gmail.com</t>
  </si>
  <si>
    <t xml:space="preserve">Paul Von Schoettler</t>
  </si>
  <si>
    <t xml:space="preserve">michelldeidan@outlook.com</t>
  </si>
  <si>
    <t xml:space="preserve">juxy Alvarado</t>
  </si>
  <si>
    <t xml:space="preserve">JULEISY-ALVARADP17@HOTMAIL.COM</t>
  </si>
  <si>
    <t xml:space="preserve">Edith Cagua</t>
  </si>
  <si>
    <t xml:space="preserve">edith_1991_@hotmail.com</t>
  </si>
  <si>
    <t xml:space="preserve">Jhoselyn Mishel Coronel</t>
  </si>
  <si>
    <t xml:space="preserve">jhose96cor@gmail.com</t>
  </si>
  <si>
    <t xml:space="preserve">Isaac Flores</t>
  </si>
  <si>
    <t xml:space="preserve">fravayisaac3@gmail.com</t>
  </si>
  <si>
    <t xml:space="preserve">Kelly peñaherrera</t>
  </si>
  <si>
    <t xml:space="preserve">Kellykdpp@gmail.com</t>
  </si>
  <si>
    <t xml:space="preserve">Se brinda toda la asesoría, queda de acercarse a la universidad el día lunes 21 de enero en horas de la mañana </t>
  </si>
  <si>
    <t xml:space="preserve">Adriana Camacho de Nivelo</t>
  </si>
  <si>
    <t xml:space="preserve">adrilive198616@gmail.com</t>
  </si>
  <si>
    <t xml:space="preserve">Axel Ruiz</t>
  </si>
  <si>
    <t xml:space="preserve">axel_ryuz13@outlook.com</t>
  </si>
  <si>
    <t xml:space="preserve">Samuel Amboya</t>
  </si>
  <si>
    <t xml:space="preserve">niosamuel85@gmail.com</t>
  </si>
  <si>
    <t xml:space="preserve">Eli GK Dayann</t>
  </si>
  <si>
    <t xml:space="preserve">kvero_10@hotmail.com</t>
  </si>
  <si>
    <t xml:space="preserve">No interesado </t>
  </si>
  <si>
    <t xml:space="preserve">Vicente CR</t>
  </si>
  <si>
    <t xml:space="preserve">campoverde@hotmail.fr</t>
  </si>
  <si>
    <t xml:space="preserve">Sebastián Perrazo Corral</t>
  </si>
  <si>
    <t xml:space="preserve">diego.perrazoc@yahoo.com</t>
  </si>
  <si>
    <t xml:space="preserve">se brinda asesoría, iva  a ingresar a la oficina, se agenda nueva llamada </t>
  </si>
  <si>
    <t xml:space="preserve">Alejandro Parraga</t>
  </si>
  <si>
    <t xml:space="preserve">parragajohnny2000@gmail.com</t>
  </si>
  <si>
    <t xml:space="preserve">Sofi Salto</t>
  </si>
  <si>
    <t xml:space="preserve">saltoguarquila123@gmail.com</t>
  </si>
  <si>
    <t xml:space="preserve">Se brinda informacion e indica que la llame el sabado 26/01 para saber que le dijeron y poder ingresar la proxima semana al pre</t>
  </si>
  <si>
    <t xml:space="preserve">Susana Mayancela Castro</t>
  </si>
  <si>
    <t xml:space="preserve">Leidy Narvaez</t>
  </si>
  <si>
    <t xml:space="preserve">ladyriofrio18@hotmail.com</t>
  </si>
  <si>
    <t xml:space="preserve">No estaba, se da mensaje  a tercero y se agenda nueva llamada </t>
  </si>
  <si>
    <t xml:space="preserve">Marita Daniela</t>
  </si>
  <si>
    <t xml:space="preserve">lachinitabeiap@gmail.com</t>
  </si>
  <si>
    <t xml:space="preserve">Miriam Adriana Choez Sanchez</t>
  </si>
  <si>
    <t xml:space="preserve">adrianachoez141@gmail.com</t>
  </si>
  <si>
    <t xml:space="preserve">se agenda nueva llamada, estaba en el bus y no escuchaba </t>
  </si>
  <si>
    <t xml:space="preserve">Viviana Elizabeth Bravo Martinetti</t>
  </si>
  <si>
    <t xml:space="preserve">elitadielu2818@gmail.com</t>
  </si>
  <si>
    <t xml:space="preserve">Se asesora, indica que terminara el colegio para marzo y hay entrara a la universidad </t>
  </si>
  <si>
    <t xml:space="preserve">Geovanny Castaño</t>
  </si>
  <si>
    <t xml:space="preserve">casmar_06@hotmail.com</t>
  </si>
  <si>
    <t xml:space="preserve">Cristina Zapata</t>
  </si>
  <si>
    <t xml:space="preserve">aczapata42@gmail.com</t>
  </si>
  <si>
    <t xml:space="preserve">Indica Que Va  A Pensar La InformaciÓn, Se ComunicarÁ Cuando Desee Tomar La Licenciatura Para El Hijo </t>
  </si>
  <si>
    <t xml:space="preserve">Maria Pincay Ponce</t>
  </si>
  <si>
    <t xml:space="preserve">ANGELES9621.PONcx14@outlook.com</t>
  </si>
  <si>
    <t xml:space="preserve">Indica que va  a realizar la prueba del senescyt, si lo pasa va directamente  a la universidad </t>
  </si>
  <si>
    <t xml:space="preserve">visitar universidad</t>
  </si>
  <si>
    <t xml:space="preserve">Leonel Nieves Licoa</t>
  </si>
  <si>
    <t xml:space="preserve">leolicoa1999@hotmail.com</t>
  </si>
  <si>
    <t xml:space="preserve">Indica asistir directamente a la universidad</t>
  </si>
  <si>
    <t xml:space="preserve">visita la UTEG</t>
  </si>
  <si>
    <t xml:space="preserve">Se brinda asesoría y se envía correo con información, se agenda nueva llamada </t>
  </si>
  <si>
    <t xml:space="preserve">dayanna Elizabeth Jaramillo Pérez</t>
  </si>
  <si>
    <t xml:space="preserve">Lina GH</t>
  </si>
  <si>
    <t xml:space="preserve">ariescorp11@yahoo.es</t>
  </si>
  <si>
    <t xml:space="preserve">Arelis Bautista</t>
  </si>
  <si>
    <t xml:space="preserve">arelis_bautista2309@hotmail.com</t>
  </si>
  <si>
    <t xml:space="preserve">Enviar email</t>
  </si>
  <si>
    <t xml:space="preserve">Josselyn Farfàn</t>
  </si>
  <si>
    <t xml:space="preserve">josselyn_anabel10@hotmail.com</t>
  </si>
  <si>
    <t xml:space="preserve">Juliana Velasco Maldonado</t>
  </si>
  <si>
    <t xml:space="preserve">julylachina86@gmail.com</t>
  </si>
  <si>
    <t xml:space="preserve">Abigail Murillo</t>
  </si>
  <si>
    <t xml:space="preserve">abigamuri41990@gmail.com</t>
  </si>
  <si>
    <t xml:space="preserve">Shirley Suárez</t>
  </si>
  <si>
    <t xml:space="preserve">suarezshirley963@gmail.com</t>
  </si>
  <si>
    <t xml:space="preserve">July Velasco</t>
  </si>
  <si>
    <t xml:space="preserve">Julylachina86@gmail.com</t>
  </si>
  <si>
    <t xml:space="preserve">Juan Carlos Arrieta Bravo</t>
  </si>
  <si>
    <t xml:space="preserve">jucarrieta67@hotmail.com</t>
  </si>
  <si>
    <t xml:space="preserve">Jairo Flores</t>
  </si>
  <si>
    <t xml:space="preserve">jjflores1982@gmail.com</t>
  </si>
  <si>
    <t xml:space="preserve">Arana Adrian</t>
  </si>
  <si>
    <t xml:space="preserve">thuparana5@gmail.com</t>
  </si>
  <si>
    <t xml:space="preserve">Andritap Jurado</t>
  </si>
  <si>
    <t xml:space="preserve">andritap15@outlook.com</t>
  </si>
  <si>
    <t xml:space="preserve">se asesora, indica que va a mirar la información con el esposo, se agenda nueva llamada </t>
  </si>
  <si>
    <t xml:space="preserve">Zea Stick</t>
  </si>
  <si>
    <t xml:space="preserve">stick_blanca@hotmail.com</t>
  </si>
  <si>
    <t xml:space="preserve">Se brinda toda la asesoría, se agenda nueva llamada para mirar qué ha pensado acerca de la información brindada  </t>
  </si>
  <si>
    <t xml:space="preserve">Jessika Obaco</t>
  </si>
  <si>
    <t xml:space="preserve">jessika0731@hotmail.com</t>
  </si>
  <si>
    <t xml:space="preserve">Se brinda asesoría, se envía información al correo electrónico, se agenda nueva llamada para confirmar correo </t>
  </si>
  <si>
    <t xml:space="preserve">Pauly Feijoo</t>
  </si>
  <si>
    <t xml:space="preserve">pau_fe_1986@hotmail.com</t>
  </si>
  <si>
    <t xml:space="preserve">Miguel Ángel</t>
  </si>
  <si>
    <t xml:space="preserve">miguel.leones91@hotmail.es</t>
  </si>
  <si>
    <t xml:space="preserve">Se envía información al correo y se agenda nueva llamada para confirmar correo </t>
  </si>
  <si>
    <t xml:space="preserve">Liliana Vallejo</t>
  </si>
  <si>
    <t xml:space="preserve">kathrinamabel24@hotmail.com</t>
  </si>
  <si>
    <t xml:space="preserve">Andres Coronel Espinoza</t>
  </si>
  <si>
    <t xml:space="preserve">andrescoronelespinoza@hotmail.es</t>
  </si>
  <si>
    <t xml:space="preserve">Se envía información al correo, se agenda nueva llamada para mirar si va a tomar la mestria </t>
  </si>
  <si>
    <t xml:space="preserve">Marcela Narcisa</t>
  </si>
  <si>
    <t xml:space="preserve">marce9116@hotmail.com</t>
  </si>
  <si>
    <t xml:space="preserve">Jenny Melisa Encalada</t>
  </si>
  <si>
    <t xml:space="preserve">encaladamj@pdvsaecuador.com.ec</t>
  </si>
  <si>
    <t xml:space="preserve">Jennifer Pj</t>
  </si>
  <si>
    <t xml:space="preserve">jenniferpj_90@hotmail.com</t>
  </si>
  <si>
    <t xml:space="preserve">Diana Ruata</t>
  </si>
  <si>
    <t xml:space="preserve">diana_ruata@hotmail.com</t>
  </si>
  <si>
    <t xml:space="preserve">Jessica Barcia</t>
  </si>
  <si>
    <t xml:space="preserve">karina_barcia@hotmail.es</t>
  </si>
  <si>
    <t xml:space="preserve">se envia informacionn al correo, desea ingresar por homologación, se agenda nueva llamada para confirmar correo y mirar posible inicio de proceso </t>
  </si>
  <si>
    <t xml:space="preserve">Vane Branque</t>
  </si>
  <si>
    <t xml:space="preserve">vanebran_19@hotmail.com</t>
  </si>
  <si>
    <t xml:space="preserve">Westher Machado Batalla</t>
  </si>
  <si>
    <t xml:space="preserve">machadowester@gamil.com</t>
  </si>
  <si>
    <t xml:space="preserve">Xavier García</t>
  </si>
  <si>
    <t xml:space="preserve">xags_@hotmail.com</t>
  </si>
  <si>
    <t xml:space="preserve">Josue Oyarvide Carpio</t>
  </si>
  <si>
    <t xml:space="preserve">josue.192@hotmail.es</t>
  </si>
  <si>
    <t xml:space="preserve">Fatima Ordoñez</t>
  </si>
  <si>
    <t xml:space="preserve">fatima21-90@hotmail.com</t>
  </si>
  <si>
    <t xml:space="preserve">Se asesora, se agenda nueva llamada para terminar de brindar asesoría </t>
  </si>
  <si>
    <t xml:space="preserve">Tiago Andrade</t>
  </si>
  <si>
    <t xml:space="preserve">Carlos.andrade@hgona.gob.ec</t>
  </si>
  <si>
    <t xml:space="preserve">Armando YWendy</t>
  </si>
  <si>
    <t xml:space="preserve">armandoywendy14_1997@hotmail.com</t>
  </si>
  <si>
    <t xml:space="preserve">Se brinda toda la asesoría y se realiza preinscripción en llamada, indica enviar documentos en horas de la tardes o al dia siguiente en la mañana</t>
  </si>
  <si>
    <t xml:space="preserve">Gaby Yagual</t>
  </si>
  <si>
    <t xml:space="preserve">live79@hotmail.es</t>
  </si>
  <si>
    <t xml:space="preserve">NidiaDaniela</t>
  </si>
  <si>
    <t xml:space="preserve">Danielaguacho9@hotmail.com</t>
  </si>
  <si>
    <t xml:space="preserve">Alejandra Zambrano</t>
  </si>
  <si>
    <t xml:space="preserve">china_mayale@hotmail.com</t>
  </si>
  <si>
    <t xml:space="preserve">Nadyfrancheska Coronel</t>
  </si>
  <si>
    <t xml:space="preserve">ternuranacovi@hotmail.com</t>
  </si>
  <si>
    <t xml:space="preserve">Mafer Calle</t>
  </si>
  <si>
    <t xml:space="preserve">mafer_9306@hotmail.com</t>
  </si>
  <si>
    <t xml:space="preserve">Johanna Cuenca</t>
  </si>
  <si>
    <t xml:space="preserve">johancue@hotmail.com</t>
  </si>
  <si>
    <t xml:space="preserve">Leslie Macias</t>
  </si>
  <si>
    <t xml:space="preserve">lesliemacias91@gmail.com</t>
  </si>
  <si>
    <t xml:space="preserve">Izeth Yarlene Vera Torres🇺🇸🇪🇨</t>
  </si>
  <si>
    <t xml:space="preserve">blackhole-100012825255457-1470185898@devnull.facebook.com</t>
  </si>
  <si>
    <t xml:space="preserve">Indica asistir directamente a la universidad a recibir asesoría </t>
  </si>
  <si>
    <t xml:space="preserve">Dra Isabel Pizarro</t>
  </si>
  <si>
    <t xml:space="preserve">yesiisa@hotmail.com</t>
  </si>
  <si>
    <t xml:space="preserve">Lou Liz</t>
  </si>
  <si>
    <t xml:space="preserve">babyliz1566@hotmail.com</t>
  </si>
  <si>
    <t xml:space="preserve">Jacqueline Elizabeth Yerovi Alvarez</t>
  </si>
  <si>
    <t xml:space="preserve">jacqueline8000@hotmail.com</t>
  </si>
  <si>
    <t xml:space="preserve">Antony Lozada Castro</t>
  </si>
  <si>
    <t xml:space="preserve">anthonylozada603@gmail.com</t>
  </si>
  <si>
    <t xml:space="preserve">Karla La Nena Valdez</t>
  </si>
  <si>
    <t xml:space="preserve">carlvald62@gmail.com</t>
  </si>
  <si>
    <t xml:space="preserve">Roberto A. Ochoa</t>
  </si>
  <si>
    <t xml:space="preserve">raochoar@gmail.com</t>
  </si>
  <si>
    <t xml:space="preserve">S Syerva DE Jesus</t>
  </si>
  <si>
    <t xml:space="preserve">sorayashirleymendoza@gmail.com</t>
  </si>
  <si>
    <t xml:space="preserve">Xiomara García</t>
  </si>
  <si>
    <t xml:space="preserve">andreslicoa1996@hotmail.com</t>
  </si>
  <si>
    <t xml:space="preserve">Se brinda asesoría, indica que le va a decir a los padres, se agenda nueva llamada para ver qué ha pensado </t>
  </si>
  <si>
    <t xml:space="preserve">Karla Mendoza</t>
  </si>
  <si>
    <t xml:space="preserve">karla-mendozad@outlook.com</t>
  </si>
  <si>
    <t xml:space="preserve">Edilma Collahuazo</t>
  </si>
  <si>
    <t xml:space="preserve">edilmacollahuazo@yahoo.com</t>
  </si>
  <si>
    <t xml:space="preserve">Ady Velez Manrik</t>
  </si>
  <si>
    <t xml:space="preserve">ady_velez83@hotmail.com</t>
  </si>
  <si>
    <t xml:space="preserve">Melissa Jhamilex Alvarado Vargas</t>
  </si>
  <si>
    <t xml:space="preserve">melisaac18@gmail.com</t>
  </si>
  <si>
    <t xml:space="preserve">Se asesora, indica que asistirá directamente a la universidad </t>
  </si>
  <si>
    <t xml:space="preserve">Antonella Jacquelin Briones Chila</t>
  </si>
  <si>
    <t xml:space="preserve">nelabriones1999@gmail.com</t>
  </si>
  <si>
    <t xml:space="preserve">Se asesora, indica que le va a comunicar al papa y se contactará por medio de WhatsApp</t>
  </si>
  <si>
    <t xml:space="preserve">Jean Carlos Valdez Alberdi</t>
  </si>
  <si>
    <t xml:space="preserve">jcarlosalberdi89@gmail.com</t>
  </si>
  <si>
    <t xml:space="preserve">John Barreno Arreaga</t>
  </si>
  <si>
    <t xml:space="preserve">Johnbarreno@hotmail.com</t>
  </si>
  <si>
    <t xml:space="preserve">Se asesora sobre la maestría se agenda nueva llamada para seguir dando asesoría </t>
  </si>
  <si>
    <t xml:space="preserve">Alex CL</t>
  </si>
  <si>
    <t xml:space="preserve">leninsolano05@outlook.com</t>
  </si>
  <si>
    <t xml:space="preserve">Jenny Elizabeth cordova villegas</t>
  </si>
  <si>
    <t xml:space="preserve">cordovajenny2018@gmail.com</t>
  </si>
  <si>
    <t xml:space="preserve">Andres RG</t>
  </si>
  <si>
    <t xml:space="preserve">andreri_99@hotmail.com</t>
  </si>
  <si>
    <t xml:space="preserve">Tanya</t>
  </si>
  <si>
    <t xml:space="preserve">tanf_84@outlook.com</t>
  </si>
  <si>
    <t xml:space="preserve">Javier Jaramillo Zurita</t>
  </si>
  <si>
    <t xml:space="preserve">jjaramilloz1972@gmail.com</t>
  </si>
  <si>
    <t xml:space="preserve">Estaba en una reunión, se agenda nueva llamada</t>
  </si>
  <si>
    <t xml:space="preserve">Paola Burbano</t>
  </si>
  <si>
    <t xml:space="preserve">paolaburbanog@hotmail.com</t>
  </si>
  <si>
    <t xml:space="preserve">Maria Ester Aroca Silva</t>
  </si>
  <si>
    <t xml:space="preserve">maruaroca1983@gmail.com</t>
  </si>
  <si>
    <t xml:space="preserve">Cris CheVe</t>
  </si>
  <si>
    <t xml:space="preserve">cristyflakita@hotmail.es</t>
  </si>
  <si>
    <t xml:space="preserve">Se brinda asesoría, indica que se va acercar directamente a la universidad </t>
  </si>
  <si>
    <t xml:space="preserve">Emiliano Heber Perez</t>
  </si>
  <si>
    <t xml:space="preserve">perezsud@gmail.com</t>
  </si>
  <si>
    <t xml:space="preserve">Se brinda toda la información, se envía correo y se agenda nueva llamada para confirmar correo.</t>
  </si>
  <si>
    <t xml:space="preserve">Carolina Caicedo</t>
  </si>
  <si>
    <t xml:space="preserve">karito_prisci@hotmail.com</t>
  </si>
  <si>
    <t xml:space="preserve">Vidal Silva S</t>
  </si>
  <si>
    <t xml:space="preserve">vidalito96@hotmail.com</t>
  </si>
  <si>
    <t xml:space="preserve">Amada Hernanda Cevallos Ponce</t>
  </si>
  <si>
    <t xml:space="preserve">amadacevallosponce@gmail.com</t>
  </si>
  <si>
    <t xml:space="preserve">Josselyn Solano</t>
  </si>
  <si>
    <t xml:space="preserve">Josselyn_123_@hotmail.com</t>
  </si>
  <si>
    <t xml:space="preserve">Gaspar Jinde</t>
  </si>
  <si>
    <t xml:space="preserve">segundoandinoj@yahoo.es</t>
  </si>
  <si>
    <t xml:space="preserve">Ana Isabel Pastor Astudillo</t>
  </si>
  <si>
    <t xml:space="preserve">anisabelpas@hotmail.com</t>
  </si>
  <si>
    <t xml:space="preserve">Se envía información al correo, indica que cuando lo vea responderá el mismo correo y escribe al WhatsApp </t>
  </si>
  <si>
    <t xml:space="preserve">Edwin Andres</t>
  </si>
  <si>
    <t xml:space="preserve">edwintuyyo@hotmail.com</t>
  </si>
  <si>
    <t xml:space="preserve">Leonela Alcivar</t>
  </si>
  <si>
    <t xml:space="preserve">lalcivarmero@hotmail.es</t>
  </si>
  <si>
    <t xml:space="preserve">No habia numero de contacto en el lead, se envía información al correo electrónico y número de WhatsApp para que se comunique allí </t>
  </si>
  <si>
    <t xml:space="preserve">no hay telefono</t>
  </si>
  <si>
    <t xml:space="preserve">Nahim Isaac</t>
  </si>
  <si>
    <t xml:space="preserve">River-futbol@hotmail.com</t>
  </si>
  <si>
    <t xml:space="preserve">Dora CB</t>
  </si>
  <si>
    <t xml:space="preserve">licveronicacastro73@gmail.com</t>
  </si>
  <si>
    <t xml:space="preserve">Andrea Gomez</t>
  </si>
  <si>
    <t xml:space="preserve">Ivancho_18@hotmail.com</t>
  </si>
  <si>
    <t xml:space="preserve">No se encontró numero en lead, se envía correo con información y se envia WhatsApp</t>
  </si>
  <si>
    <t xml:space="preserve">Maria Rosa Mejia Velez</t>
  </si>
  <si>
    <t xml:space="preserve">marirous.mv@hotmail.com</t>
  </si>
  <si>
    <t xml:space="preserve">Leidy Zambrano Guaraca</t>
  </si>
  <si>
    <t xml:space="preserve">zambranolady1983@hotmail.com</t>
  </si>
  <si>
    <t xml:space="preserve">Milton Valle</t>
  </si>
  <si>
    <t xml:space="preserve">milton.ove@hotmail.com</t>
  </si>
  <si>
    <t xml:space="preserve">Chiquita Bella Adri</t>
  </si>
  <si>
    <t xml:space="preserve">rjaneth.fact@gmail.com</t>
  </si>
  <si>
    <t xml:space="preserve">Se brinda toda la asesoría, queda en hablar con el esposo y se agenda nueva llamada para mirar qué ha pensado </t>
  </si>
  <si>
    <t xml:space="preserve">Sandy Btg</t>
  </si>
  <si>
    <t xml:space="preserve">stello_1989@hotmail.com</t>
  </si>
  <si>
    <t xml:space="preserve">Se brinda asesoría, se agenda nueva llamada para mira que ha pensado</t>
  </si>
  <si>
    <t xml:space="preserve">Luis Miguel Sanizaca Saeteros</t>
  </si>
  <si>
    <t xml:space="preserve">sanizacamiguel@gmail.com</t>
  </si>
  <si>
    <t xml:space="preserve">Katherine Asencio</t>
  </si>
  <si>
    <t xml:space="preserve">katherine_1524@outlook.com</t>
  </si>
  <si>
    <t xml:space="preserve">Indica que está terminando la universidad en machala para poder acceder a la maestría con nosotros  </t>
  </si>
  <si>
    <t xml:space="preserve">Kerly Stefania Vasquez Rodas</t>
  </si>
  <si>
    <t xml:space="preserve">kerlyvas75@gmail.com</t>
  </si>
  <si>
    <t xml:space="preserve">Se brinda toda la asesoría, indica acercarse a la universidad en el transcurso de la semana</t>
  </si>
  <si>
    <t xml:space="preserve">Stephanie Martillo Guerrero</t>
  </si>
  <si>
    <t xml:space="preserve">stepha-mg@hotmail.com</t>
  </si>
  <si>
    <t xml:space="preserve">Se agenda nueva llamada para mirar si desea iniciar proceso </t>
  </si>
  <si>
    <t xml:space="preserve">Germán Caicedo</t>
  </si>
  <si>
    <t xml:space="preserve">germancr96@hotmail.com</t>
  </si>
  <si>
    <t xml:space="preserve">Ab Jose Jacho Vargas</t>
  </si>
  <si>
    <t xml:space="preserve">ab.jachovargas@hotmail.com</t>
  </si>
  <si>
    <t xml:space="preserve">Se envía correo con información, indica revisarlo y acercarse a la universidad,  se agenda nueva llamada </t>
  </si>
  <si>
    <t xml:space="preserve">Se contacta no contesta, ha asistido a la universidad volver  a llamar</t>
  </si>
  <si>
    <t xml:space="preserve">Majo Prieto Quinto</t>
  </si>
  <si>
    <t xml:space="preserve">mariajosepq94@gmail.com</t>
  </si>
  <si>
    <t xml:space="preserve">Se asesora, indica que va a mirar todo el proceso y se comunicará por WhastApp</t>
  </si>
  <si>
    <t xml:space="preserve">Mariuxi Alvarado Chila</t>
  </si>
  <si>
    <t xml:space="preserve">mariuxialvaradochila11@gmail.com</t>
  </si>
  <si>
    <t xml:space="preserve">Monica Espinoza</t>
  </si>
  <si>
    <t xml:space="preserve">monika_eb@hotmail.com</t>
  </si>
  <si>
    <t xml:space="preserve">se contacta, se envia informacion al correo con la informacion detallada</t>
  </si>
  <si>
    <t xml:space="preserve">Jefferson Castro Arias</t>
  </si>
  <si>
    <t xml:space="preserve">jeffs360@outlook.com</t>
  </si>
  <si>
    <t xml:space="preserve">no contesta, de igual forma se envia la informacion a su correo</t>
  </si>
  <si>
    <t xml:space="preserve">contacto duplicado</t>
  </si>
  <si>
    <t xml:space="preserve">Wendy Kathiuska Oliveros Pérez</t>
  </si>
  <si>
    <t xml:space="preserve">wendyk060284@hotmail.com</t>
  </si>
  <si>
    <t xml:space="preserve">es de azoguez, la carrera es para su hija desea informacion de la carrera en online. Se detalla informacion y desea respaldo por whatsapp o correo electronico</t>
  </si>
  <si>
    <t xml:space="preserve">Daniel Castro Hurel</t>
  </si>
  <si>
    <t xml:space="preserve">danielcastroh1989@gmail.com</t>
  </si>
  <si>
    <t xml:space="preserve">Contacto repetido</t>
  </si>
  <si>
    <t xml:space="preserve">Gisse Acosta</t>
  </si>
  <si>
    <t xml:space="preserve">coop.recursosh@37gmail.com</t>
  </si>
  <si>
    <t xml:space="preserve">Indica que no recibe llamadas a distancia y cuelga la llamada </t>
  </si>
  <si>
    <t xml:space="preserve">Miguelon👑⚽</t>
  </si>
  <si>
    <t xml:space="preserve">Miguel_granado97@hotmail.com</t>
  </si>
  <si>
    <t xml:space="preserve">Marielena Cando</t>
  </si>
  <si>
    <t xml:space="preserve">mari-elena85@hotmail.com</t>
  </si>
  <si>
    <t xml:space="preserve">Se brinda toda la asesoría, se agenda nueva llamada para mirar qué ha pensado  </t>
  </si>
  <si>
    <t xml:space="preserve">Mariela Maygua</t>
  </si>
  <si>
    <t xml:space="preserve">marlili16@hotmail.es</t>
  </si>
  <si>
    <t xml:space="preserve">Jaime Villafuerte</t>
  </si>
  <si>
    <t xml:space="preserve">villajotin@hotmail.com</t>
  </si>
  <si>
    <t xml:space="preserve">Se asesora sobre todas las modalidades, muestra más interés por la Online, se envía correo con toda la información y se agenda nueva llamada </t>
  </si>
  <si>
    <t xml:space="preserve">Mayra Matos</t>
  </si>
  <si>
    <t xml:space="preserve">mayralorenamatos@gmail.com</t>
  </si>
  <si>
    <t xml:space="preserve">Milu Brianna Triviño</t>
  </si>
  <si>
    <t xml:space="preserve">Trivi_maria@hotmail.com</t>
  </si>
  <si>
    <t xml:space="preserve">Samuel Proaño</t>
  </si>
  <si>
    <t xml:space="preserve">Samuel.proano@hotmail.com</t>
  </si>
  <si>
    <t xml:space="preserve">Borbor JosMari</t>
  </si>
  <si>
    <t xml:space="preserve">ericka.encantadora@hotmail.com</t>
  </si>
  <si>
    <t xml:space="preserve">Anabel Torres</t>
  </si>
  <si>
    <t xml:space="preserve">anabeltorreschalen@gmail.com</t>
  </si>
  <si>
    <t xml:space="preserve">jenniferpatriciabrionesdelgado.com</t>
  </si>
  <si>
    <t xml:space="preserve">Liss Montero</t>
  </si>
  <si>
    <t xml:space="preserve">liss_kat@hotmail.com</t>
  </si>
  <si>
    <t xml:space="preserve">Se brinda toda la asesoría y se agenda nueva llamada para ver qué ha pensado </t>
  </si>
  <si>
    <t xml:space="preserve">Jhoss Amaya</t>
  </si>
  <si>
    <t xml:space="preserve">Cinthya Burgos</t>
  </si>
  <si>
    <t xml:space="preserve">cinthycipbach3sm@gmail.com</t>
  </si>
  <si>
    <t xml:space="preserve">Se asesora, indica que se va acercar directamente a la universidad a solicitar más información </t>
  </si>
  <si>
    <t xml:space="preserve">Evelyn Núñez</t>
  </si>
  <si>
    <t xml:space="preserve">evy_bombom@hotmail.com</t>
  </si>
  <si>
    <t xml:space="preserve">Carlitos Cazorla</t>
  </si>
  <si>
    <t xml:space="preserve">alessacazorla@gmail.com</t>
  </si>
  <si>
    <t xml:space="preserve">Luis Miguel Vargas Moran</t>
  </si>
  <si>
    <t xml:space="preserve">luismiguelvargasmoran@hotmail.com</t>
  </si>
  <si>
    <t xml:space="preserve">Angie Patricia</t>
  </si>
  <si>
    <t xml:space="preserve">angieapolo98@gmail.com</t>
  </si>
  <si>
    <t xml:space="preserve">Marce Vásquez</t>
  </si>
  <si>
    <t xml:space="preserve">surimina@hotmail.com</t>
  </si>
  <si>
    <t xml:space="preserve">Se envia informacion solicitada al correo/ sin contacto</t>
  </si>
  <si>
    <t xml:space="preserve">Anderson Nevarez</t>
  </si>
  <si>
    <t xml:space="preserve">andersonnevarez@hotmail.com</t>
  </si>
  <si>
    <t xml:space="preserve">Valeria Celinda Alcivar Gonzalez</t>
  </si>
  <si>
    <t xml:space="preserve">valeriaalcivar@hotmail.com</t>
  </si>
  <si>
    <t xml:space="preserve">No había número telefónico, se envía correo con información  </t>
  </si>
  <si>
    <t xml:space="preserve">Francisco Villa Arias</t>
  </si>
  <si>
    <t xml:space="preserve">paco_villa99@hotmail.com</t>
  </si>
  <si>
    <t xml:space="preserve">INDICA QUE VA A TRATAR DE CONSEGUIR EL DINERO QUE LO LLAME EL MARTES PARA VER SI CONSIGUIÓ EL DINERO</t>
  </si>
  <si>
    <t xml:space="preserve">Ericka Leon</t>
  </si>
  <si>
    <t xml:space="preserve">jazminsita_87@hotmail.com</t>
  </si>
  <si>
    <t xml:space="preserve">Numero incorrecto, se envia informativo por correo</t>
  </si>
  <si>
    <t xml:space="preserve">Jenifer Cox</t>
  </si>
  <si>
    <t xml:space="preserve">jenifer1303@hotmail.com</t>
  </si>
  <si>
    <t xml:space="preserve">Indica que vendra el martes con el papa para poder inscribirse</t>
  </si>
  <si>
    <t xml:space="preserve">Jose Reyes Cevallos</t>
  </si>
  <si>
    <t xml:space="preserve">jreyescevallos@gmail.com</t>
  </si>
  <si>
    <t xml:space="preserve">no contesta se envia iinformacion por correo</t>
  </si>
  <si>
    <t xml:space="preserve">Susana San Andrés</t>
  </si>
  <si>
    <t xml:space="preserve">susy_sanandres@hotmail.com</t>
  </si>
  <si>
    <t xml:space="preserve">Marcia Alejandra Reyes</t>
  </si>
  <si>
    <t xml:space="preserve">dayitmar@gmail.com</t>
  </si>
  <si>
    <t xml:space="preserve">Se brinda informacion e indica que la vuelva a llamar el 30/01</t>
  </si>
  <si>
    <t xml:space="preserve">Mariuxi Lara</t>
  </si>
  <si>
    <t xml:space="preserve">mlariuxi@hotmail.com</t>
  </si>
  <si>
    <t xml:space="preserve">No contesta envia a buzon, se envia informacionn por correo</t>
  </si>
  <si>
    <t xml:space="preserve">Harold Fajardo Puga</t>
  </si>
  <si>
    <t xml:space="preserve">harold_1907fajardo@hotmail.com</t>
  </si>
  <si>
    <t xml:space="preserve">Se encuentra muy interesado en especial por tema de burdeos se envia infromacion adicional al correo ademas que se lo contacto e indica que lo va analizar con la esposa</t>
  </si>
  <si>
    <t xml:space="preserve">Evelyn Balladares</t>
  </si>
  <si>
    <t xml:space="preserve">evelynballadares@hotmail.com</t>
  </si>
  <si>
    <t xml:space="preserve">Indica que va analizar propuesta </t>
  </si>
  <si>
    <t xml:space="preserve">Allison Moreira</t>
  </si>
  <si>
    <t xml:space="preserve">allemore@espol.edu.ec</t>
  </si>
  <si>
    <t xml:space="preserve">valeriaalcivar@hormail.com</t>
  </si>
  <si>
    <t xml:space="preserve">Marialiset Robelli Guerrero</t>
  </si>
  <si>
    <t xml:space="preserve">lilosteachtinker@hotmail.com</t>
  </si>
  <si>
    <t xml:space="preserve">Cinthia Lissett</t>
  </si>
  <si>
    <t xml:space="preserve">janita.pogo@yahoo.es</t>
  </si>
  <si>
    <t xml:space="preserve">Stefy Andrade</t>
  </si>
  <si>
    <t xml:space="preserve">dradefania90@gmail.com</t>
  </si>
  <si>
    <t xml:space="preserve">Jenny Cayambe</t>
  </si>
  <si>
    <t xml:space="preserve">Jenny13-12-96@hotmail.com</t>
  </si>
  <si>
    <t xml:space="preserve">Indica que es para un primo y el va asistir directamente a la universidad </t>
  </si>
  <si>
    <t xml:space="preserve">Karen Morocho Aquino</t>
  </si>
  <si>
    <t xml:space="preserve">karencita15_16@hotmail.com</t>
  </si>
  <si>
    <t xml:space="preserve">Natali Ramona Mosquera Toaza</t>
  </si>
  <si>
    <t xml:space="preserve">nathalimosquera@gmail.com</t>
  </si>
  <si>
    <t xml:space="preserve">Indica que le están brindando asesoría por Whatsapp, por ese medio se contactara cuando decida iniciar proceso  </t>
  </si>
  <si>
    <t xml:space="preserve">Franco Sergio...</t>
  </si>
  <si>
    <t xml:space="preserve">sergio-bookmando@hotmail.com</t>
  </si>
  <si>
    <t xml:space="preserve">Carlos Adrían Callacando Rosado</t>
  </si>
  <si>
    <t xml:space="preserve">andrycar_21@hotmail.com</t>
  </si>
  <si>
    <t xml:space="preserve">Se asesora y va a la universidad el día lunes 28 de enero </t>
  </si>
  <si>
    <t xml:space="preserve">Mery Mera</t>
  </si>
  <si>
    <t xml:space="preserve">merytita8691@gmail.com</t>
  </si>
  <si>
    <t xml:space="preserve">Indica que desea carrera de grado se brinda informacion volver a llamar el lunes</t>
  </si>
  <si>
    <t xml:space="preserve">Ruth litardo</t>
  </si>
  <si>
    <t xml:space="preserve">rutylifu@hotmail.com</t>
  </si>
  <si>
    <t xml:space="preserve">Indica que actualmente no cuenta con el dinero y que va a investigar como poder acceder a un prestamo porque su economia no le alcanza volver a  llamar para fin de mes</t>
  </si>
  <si>
    <t xml:space="preserve">Yesenia Panchana</t>
  </si>
  <si>
    <t xml:space="preserve">yeseniapg@yahoo.com</t>
  </si>
  <si>
    <t xml:space="preserve">Se brinda informacion volver a llamar a las 14:00</t>
  </si>
  <si>
    <t xml:space="preserve">Se vuelve a contactar de acuerdo a lo solicitado no contesta</t>
  </si>
  <si>
    <t xml:space="preserve">Yimabel López Barona</t>
  </si>
  <si>
    <t xml:space="preserve">yima23@hotmail.com</t>
  </si>
  <si>
    <t xml:space="preserve">Karem Barcos</t>
  </si>
  <si>
    <t xml:space="preserve">kamibavi@hotmail.com</t>
  </si>
  <si>
    <t xml:space="preserve">Indica que la vuelva a llmaar en 15 min que esta manejando</t>
  </si>
  <si>
    <t xml:space="preserve">Indica que la ocntacte  afin de mes para saber si consiguio el dinero porque actualmente no cuenta con recursos economicos</t>
  </si>
  <si>
    <t xml:space="preserve">Susana Miranda Carriel</t>
  </si>
  <si>
    <t xml:space="preserve">mirands_01@hotmail.com</t>
  </si>
  <si>
    <t xml:space="preserve">Contesta tercero e indica que no esta que vuelva a llamar a eso de la 13:00</t>
  </si>
  <si>
    <t xml:space="preserve">Indica que no desea porque es demasiado caro y no cuenta con el dinero</t>
  </si>
  <si>
    <t xml:space="preserve">Rojas Jose</t>
  </si>
  <si>
    <t xml:space="preserve">josecinho05@gmail.com</t>
  </si>
  <si>
    <t xml:space="preserve">Indica estar interesado en ingenieria automotriz, se va acercar a la universidad a pedir información </t>
  </si>
  <si>
    <t xml:space="preserve">limber montaño</t>
  </si>
  <si>
    <t xml:space="preserve">l.montanom20@gmail.com</t>
  </si>
  <si>
    <t xml:space="preserve">Fernando Alvarez Salazar</t>
  </si>
  <si>
    <t xml:space="preserve">fernandoalvarez516@hotmail.com</t>
  </si>
  <si>
    <t xml:space="preserve">Jairo Tomalà</t>
  </si>
  <si>
    <t xml:space="preserve">Jairo_333@hotmail.com</t>
  </si>
  <si>
    <t xml:space="preserve">Se asesora, desea pensar la información y se agenda nueva llamada </t>
  </si>
  <si>
    <t xml:space="preserve">Leonardo Garces</t>
  </si>
  <si>
    <t xml:space="preserve">leonardogarces@hotmail.es</t>
  </si>
  <si>
    <t xml:space="preserve">Se envia información por correo va averificar porque no puede en horario matutino la carrera escogida.</t>
  </si>
  <si>
    <t xml:space="preserve">Katiitap Valenciia</t>
  </si>
  <si>
    <t xml:space="preserve">kattaurbanap96@gmail.com</t>
  </si>
  <si>
    <t xml:space="preserve">Zoila Riera</t>
  </si>
  <si>
    <t xml:space="preserve">Zoilar2011@live.com</t>
  </si>
  <si>
    <t xml:space="preserve">Steven Jesus Arcos Garcia</t>
  </si>
  <si>
    <t xml:space="preserve">jesusstevee@gmail.com</t>
  </si>
  <si>
    <t xml:space="preserve">Cristhian Ernesto Valladolid Villamar</t>
  </si>
  <si>
    <t xml:space="preserve">cristhian_e_1994@hotmail.com</t>
  </si>
  <si>
    <t xml:space="preserve">Sandy Deyaneira Diaz Zamora</t>
  </si>
  <si>
    <t xml:space="preserve">mama0985706119@hotmail.com</t>
  </si>
  <si>
    <t xml:space="preserve">No estaba, estaba la mama, se agenda nueva llamada </t>
  </si>
  <si>
    <t xml:space="preserve">Daniela Yepez Solorzano</t>
  </si>
  <si>
    <t xml:space="preserve">danie.yes.27@gmail.com</t>
  </si>
  <si>
    <t xml:space="preserve">Se brinda informacion e indica que el costo es demasiado elevado y que no le alcanza se ofrece otras maestrias e indica que no desea solo investigacion porque ella es del area de ciencias</t>
  </si>
  <si>
    <t xml:space="preserve">Erika Ruiz de Montesinos</t>
  </si>
  <si>
    <t xml:space="preserve">gufilimoas2017@gmail.com</t>
  </si>
  <si>
    <t xml:space="preserve">va a la uteg</t>
  </si>
  <si>
    <t xml:space="preserve">Linda Saltos</t>
  </si>
  <si>
    <t xml:space="preserve">linda.salto12@gmail.com</t>
  </si>
  <si>
    <t xml:space="preserve">Katerin Quezadaa</t>
  </si>
  <si>
    <t xml:space="preserve">katysel_98@hotmail.com</t>
  </si>
  <si>
    <t xml:space="preserve">kleber lema buri</t>
  </si>
  <si>
    <t xml:space="preserve">mauriciolema290@yahoo.com</t>
  </si>
  <si>
    <t xml:space="preserve">Se asesora por WhatsApp, ya que iba conduciendo y no pudo atender la llamada </t>
  </si>
  <si>
    <t xml:space="preserve">Zully Romero</t>
  </si>
  <si>
    <t xml:space="preserve">zullamor_1987cancer@hotmail.com</t>
  </si>
  <si>
    <t xml:space="preserve">Alisson Estefania Cedeño Parrales</t>
  </si>
  <si>
    <t xml:space="preserve">estefanicedeno2018@gmail.com</t>
  </si>
  <si>
    <t xml:space="preserve">Se asesora, se agenda nueva llamada para mirar si va a iniciar proceso </t>
  </si>
  <si>
    <t xml:space="preserve">Jose Jc Sanchez</t>
  </si>
  <si>
    <t xml:space="preserve">Barby Tapia Navarrete</t>
  </si>
  <si>
    <t xml:space="preserve">geovysofis@hotmail.com</t>
  </si>
  <si>
    <t xml:space="preserve">Diana Tigua</t>
  </si>
  <si>
    <t xml:space="preserve">minalesprincesa@gmail.com</t>
  </si>
  <si>
    <t xml:space="preserve">Descartado</t>
  </si>
  <si>
    <t xml:space="preserve">Janeth Solórzano Sandoval</t>
  </si>
  <si>
    <t xml:space="preserve">sabrina_sandoval5@hotmail.com</t>
  </si>
  <si>
    <t xml:space="preserve">Interesada en maestrías Online </t>
  </si>
  <si>
    <t xml:space="preserve">Se asesora, se agenda nueva para mirar que ha pensado </t>
  </si>
  <si>
    <t xml:space="preserve">vanessa montalban</t>
  </si>
  <si>
    <t xml:space="preserve">monreys_pr@hotmail.com</t>
  </si>
  <si>
    <t xml:space="preserve">Patricia Uvidia</t>
  </si>
  <si>
    <t xml:space="preserve">jackys_uvidia@hotmail.com</t>
  </si>
  <si>
    <t xml:space="preserve">Se asesora, se envía correo con información y se agenda nueva llamada, desea ingresar por homologación  </t>
  </si>
  <si>
    <t xml:space="preserve">Paulina Cobeña</t>
  </si>
  <si>
    <t xml:space="preserve">paula-cobe@hotmail.com</t>
  </si>
  <si>
    <t xml:space="preserve">Se asesora, indica comunicarse cuando desee iniciar proceso </t>
  </si>
  <si>
    <t xml:space="preserve">Edgar Alvarez</t>
  </si>
  <si>
    <t xml:space="preserve">edgar_alvarez_1@hotmail.com</t>
  </si>
  <si>
    <t xml:space="preserve">Juan Carlos Empuño Granda</t>
  </si>
  <si>
    <t xml:space="preserve">juanpy8235@hotmail.com</t>
  </si>
  <si>
    <t xml:space="preserve">Beatríz Sango</t>
  </si>
  <si>
    <t xml:space="preserve">beatrizsango88@hotmail.com</t>
  </si>
  <si>
    <t xml:space="preserve">Monica Rojas</t>
  </si>
  <si>
    <t xml:space="preserve">monycarojascrespo@hotmail.com</t>
  </si>
  <si>
    <t xml:space="preserve">MiltOn JAel</t>
  </si>
  <si>
    <t xml:space="preserve">solicita modalidad online, se envia costos por ws revisará y se comunica</t>
  </si>
  <si>
    <t xml:space="preserve">Maria Fernanda Cabezas</t>
  </si>
  <si>
    <t xml:space="preserve">Mafercabezas97@gmail.com</t>
  </si>
  <si>
    <t xml:space="preserve">Se envía información al correo, indica verificar la información y acercarse directamente a la universidad </t>
  </si>
  <si>
    <t xml:space="preserve">David</t>
  </si>
  <si>
    <t xml:space="preserve">david19valarezo@gmail.com</t>
  </si>
  <si>
    <t xml:space="preserve">Jr Alvarado</t>
  </si>
  <si>
    <t xml:space="preserve">ricardoalvarado_1996@hotmail.com</t>
  </si>
  <si>
    <t xml:space="preserve">Ruddy Fabian Saavedra Loor</t>
  </si>
  <si>
    <t xml:space="preserve">ruddysss30@gmail.com</t>
  </si>
  <si>
    <t xml:space="preserve">Indica que el valor es demasiado alto para el presupuesto que el maneja </t>
  </si>
  <si>
    <t xml:space="preserve">Jessy Santana</t>
  </si>
  <si>
    <t xml:space="preserve">jessi121213@hotmail.com</t>
  </si>
  <si>
    <t xml:space="preserve">machadowester@gmail.com</t>
  </si>
  <si>
    <t xml:space="preserve">Ricardo Romero</t>
  </si>
  <si>
    <t xml:space="preserve">rrome21@hotmail.es</t>
  </si>
  <si>
    <t xml:space="preserve">Beatriz Quinde Quinde</t>
  </si>
  <si>
    <t xml:space="preserve">beatrizquinde292@hotmail.es</t>
  </si>
  <si>
    <t xml:space="preserve">Indica que va  a pensar la información, desea aplazar </t>
  </si>
  <si>
    <t xml:space="preserve">Denise Michelle Espinoza Calero</t>
  </si>
  <si>
    <t xml:space="preserve">deniseec19@gmail.com</t>
  </si>
  <si>
    <t xml:space="preserve">Se envía correo con información, desea ingresar por homologación </t>
  </si>
  <si>
    <t xml:space="preserve">Elizabeth Quijije</t>
  </si>
  <si>
    <t xml:space="preserve">juani_eliza@outlook.es</t>
  </si>
  <si>
    <t xml:space="preserve">Wimper Carriel</t>
  </si>
  <si>
    <t xml:space="preserve">wimpercarriel@hotmail.com</t>
  </si>
  <si>
    <t xml:space="preserve">Lissi Ken Santana</t>
  </si>
  <si>
    <t xml:space="preserve">kenialps@hotmail.com</t>
  </si>
  <si>
    <t xml:space="preserve">Santiago Pasquel</t>
  </si>
  <si>
    <t xml:space="preserve">santymai@hotmail.com</t>
  </si>
  <si>
    <t xml:space="preserve">Dennisses Olaya</t>
  </si>
  <si>
    <t xml:space="preserve">Jenny Guerrero</t>
  </si>
  <si>
    <t xml:space="preserve">jennysikg.t@gmail.com</t>
  </si>
  <si>
    <t xml:space="preserve">Isaac Araujo</t>
  </si>
  <si>
    <t xml:space="preserve">carlosaraujolituma19@gmail.com</t>
  </si>
  <si>
    <t xml:space="preserve">Liz Arana</t>
  </si>
  <si>
    <t xml:space="preserve">lixaranamora@gmail.com</t>
  </si>
  <si>
    <t xml:space="preserve">Se agenda nueva llamada pa mirar que ha pensado</t>
  </si>
  <si>
    <t xml:space="preserve">Estefania Saltos</t>
  </si>
  <si>
    <t xml:space="preserve">Fabiasaltos12@gmail.com</t>
  </si>
  <si>
    <t xml:space="preserve">Roxana Franco Troya</t>
  </si>
  <si>
    <t xml:space="preserve">Ilariomontero21@gmail.com</t>
  </si>
  <si>
    <t xml:space="preserve"> </t>
  </si>
  <si>
    <t xml:space="preserve">Marco De Jesus Espin</t>
  </si>
  <si>
    <t xml:space="preserve">marcodejesus59@gmail.com</t>
  </si>
  <si>
    <t xml:space="preserve">Jonnathan Eduardo Yagual Gonzalez</t>
  </si>
  <si>
    <t xml:space="preserve">jonnathanyagual_chichande@hotmail.es</t>
  </si>
  <si>
    <t xml:space="preserve">Yulexi Stefania Coloma Salas</t>
  </si>
  <si>
    <t xml:space="preserve">yulexicolomadanna@gmail.com</t>
  </si>
  <si>
    <t xml:space="preserve">Elizabeth Buñay</t>
  </si>
  <si>
    <t xml:space="preserve">Bumore17@gmail.com</t>
  </si>
  <si>
    <t xml:space="preserve">Erick Alexander Velarde Moreira</t>
  </si>
  <si>
    <t xml:space="preserve">erickalexandervelarde@hotmail.com</t>
  </si>
  <si>
    <t xml:space="preserve">Se asesora, indica asistir directamente a la universidad </t>
  </si>
  <si>
    <t xml:space="preserve">Maria Jose Mieles Ramos</t>
  </si>
  <si>
    <t xml:space="preserve">majo_mielesram@hotmail.com</t>
  </si>
  <si>
    <t xml:space="preserve">Se asesora, se agenda nueva llamada por que le va  a comunicar a la mama </t>
  </si>
  <si>
    <t xml:space="preserve">Jorge Alvear</t>
  </si>
  <si>
    <t xml:space="preserve">malveare1985@hotmail.com</t>
  </si>
  <si>
    <t xml:space="preserve">Karen Quiñonez</t>
  </si>
  <si>
    <t xml:space="preserve">quinonezkaren98@gmail.com</t>
  </si>
  <si>
    <t xml:space="preserve">Janith Parraga Bsc</t>
  </si>
  <si>
    <t xml:space="preserve">parragajaneth604@gmail.com</t>
  </si>
  <si>
    <t xml:space="preserve">Fabi Urgiles</t>
  </si>
  <si>
    <t xml:space="preserve">Estaba en capacitación, se agenda nueva llama  </t>
  </si>
  <si>
    <t xml:space="preserve">Estefy Medrano</t>
  </si>
  <si>
    <t xml:space="preserve">estefanynedrano1997@gmail.com</t>
  </si>
  <si>
    <t xml:space="preserve">Sofia Pinduisaca Carriel</t>
  </si>
  <si>
    <t xml:space="preserve">sdpinduisaca@gmail.com</t>
  </si>
  <si>
    <t xml:space="preserve">Maria carrera</t>
  </si>
  <si>
    <t xml:space="preserve">mary_zamora21@outlook.com</t>
  </si>
  <si>
    <t xml:space="preserve">Elizabeth Kemg</t>
  </si>
  <si>
    <t xml:space="preserve">karlaabc@gmail.com</t>
  </si>
  <si>
    <t xml:space="preserve">Noemi Gonzalez</t>
  </si>
  <si>
    <t xml:space="preserve">eliseomendez11@hotmail.com</t>
  </si>
  <si>
    <t xml:space="preserve">Se brinda asesoría, se envía correo con información  </t>
  </si>
  <si>
    <t xml:space="preserve">Viviana Liseth Aguirre León</t>
  </si>
  <si>
    <t xml:space="preserve">vivianaguirrel17@hotmail.com</t>
  </si>
  <si>
    <t xml:space="preserve">RaKel KE</t>
  </si>
  <si>
    <t xml:space="preserve">alcivar_solange16@hotmail.com</t>
  </si>
  <si>
    <t xml:space="preserve">Jackmary Mendoza</t>
  </si>
  <si>
    <t xml:space="preserve">tihaovale19@uotlook.com</t>
  </si>
  <si>
    <t xml:space="preserve">Kevin Gorotiza</t>
  </si>
  <si>
    <t xml:space="preserve">kevin_loving11@outlook.es</t>
  </si>
  <si>
    <t xml:space="preserve">Rita Marianela Figueroa Cruz</t>
  </si>
  <si>
    <t xml:space="preserve">rita_1994_cruz@hotmail.com</t>
  </si>
  <si>
    <t xml:space="preserve">Se brinda toda la asesoría, se agenda nueva llamada para mirar si desea iniciar proceso </t>
  </si>
  <si>
    <t xml:space="preserve">Zoe Flakitta Castro</t>
  </si>
  <si>
    <t xml:space="preserve">zoecastro18@hotmail.com</t>
  </si>
  <si>
    <t xml:space="preserve">Gabriela Cisneros</t>
  </si>
  <si>
    <t xml:space="preserve">Gabriela_21_c@hotmail.com</t>
  </si>
  <si>
    <t xml:space="preserve">Jona MT</t>
  </si>
  <si>
    <t xml:space="preserve">jonathan.murillo@outlook.com</t>
  </si>
  <si>
    <t xml:space="preserve">va a reunir documentos de homologación</t>
  </si>
  <si>
    <t xml:space="preserve">Leidy S. Rosales</t>
  </si>
  <si>
    <t xml:space="preserve">stephanie_94@hotmail.es</t>
  </si>
  <si>
    <t xml:space="preserve">Jessica Catalina</t>
  </si>
  <si>
    <t xml:space="preserve">jessica.ganchala@hotmail.com</t>
  </si>
  <si>
    <t xml:space="preserve">Se envía información al correo electrónico y se agenda nueva llamada para confirmar correo y aclarar posibles dudas </t>
  </si>
  <si>
    <t xml:space="preserve">Glenda Espinoza</t>
  </si>
  <si>
    <t xml:space="preserve">alexa_gaez@hotmail.com</t>
  </si>
  <si>
    <t xml:space="preserve">Contesta y cuelga la llamada, se agenda una nueva </t>
  </si>
  <si>
    <t xml:space="preserve">Danna Pauleth Garcia Lugo</t>
  </si>
  <si>
    <t xml:space="preserve">srtapauleth@gmail.com</t>
  </si>
  <si>
    <t xml:space="preserve">Roxana Elizabeth Olvera Miranda</t>
  </si>
  <si>
    <t xml:space="preserve">elizabeth-olvera85@hotmail.com</t>
  </si>
  <si>
    <t xml:space="preserve">Anthony García Montiel</t>
  </si>
  <si>
    <t xml:space="preserve">tonygarciamontiel@outlook.es</t>
  </si>
  <si>
    <t xml:space="preserve">katherin lisset granja sanchez</t>
  </si>
  <si>
    <t xml:space="preserve">kathegranja94@gmail.com</t>
  </si>
  <si>
    <t xml:space="preserve">Chiriboga Veloz Caleb</t>
  </si>
  <si>
    <t xml:space="preserve">nadiasoraya1989@hotmail.com</t>
  </si>
  <si>
    <t xml:space="preserve">Jordy Vega</t>
  </si>
  <si>
    <t xml:space="preserve">jordyandrevega@hotmail.com</t>
  </si>
  <si>
    <t xml:space="preserve">gil Humberto carrazco berrones</t>
  </si>
  <si>
    <t xml:space="preserve">ghcb198933@gmail.com</t>
  </si>
  <si>
    <t xml:space="preserve">Richard Vivar</t>
  </si>
  <si>
    <t xml:space="preserve">richardvivar@hotmail.com</t>
  </si>
  <si>
    <t xml:space="preserve">Se agenda nueva llama para mirar que ha pensado</t>
  </si>
  <si>
    <t xml:space="preserve">Angie Granoble</t>
  </si>
  <si>
    <t xml:space="preserve">luciaangelica@hotmail.es</t>
  </si>
  <si>
    <t xml:space="preserve">Winnifer Paulet Huayamave</t>
  </si>
  <si>
    <t xml:space="preserve">whuayamave99@outlook.com</t>
  </si>
  <si>
    <t xml:space="preserve">Yuli Liseth</t>
  </si>
  <si>
    <t xml:space="preserve">ganchozoyuliana5@gmail.com</t>
  </si>
  <si>
    <t xml:space="preserve">Se envía información al correo, se agenda nueva  llamada </t>
  </si>
  <si>
    <t xml:space="preserve">Esrj Steven</t>
  </si>
  <si>
    <t xml:space="preserve">roxysitap@hotmail.com</t>
  </si>
  <si>
    <t xml:space="preserve">estaba en el trabajo, muy ocupado, se agenda nueva llamada </t>
  </si>
  <si>
    <t xml:space="preserve">Génesis Isbes Rogel</t>
  </si>
  <si>
    <t xml:space="preserve">genesisisbes123@gmail.com</t>
  </si>
  <si>
    <t xml:space="preserve">Monic Quito</t>
  </si>
  <si>
    <t xml:space="preserve">msiguaquito@yahoo.com</t>
  </si>
  <si>
    <t xml:space="preserve">Michael Morales</t>
  </si>
  <si>
    <t xml:space="preserve">michaelmorales1999@outlook.com</t>
  </si>
  <si>
    <t xml:space="preserve">Indica que esta viendo opciones, se comunicara cuando tenga respuesta</t>
  </si>
  <si>
    <t xml:space="preserve">Michael Alvear</t>
  </si>
  <si>
    <t xml:space="preserve">David Tenorio</t>
  </si>
  <si>
    <t xml:space="preserve">davidtg1982@gmail.com</t>
  </si>
  <si>
    <t xml:space="preserve">Julia Stella Cueva</t>
  </si>
  <si>
    <t xml:space="preserve">cuevaalarconjuliastella@gmail.com</t>
  </si>
  <si>
    <t xml:space="preserve">Descartada</t>
  </si>
  <si>
    <t xml:space="preserve">Êdwin Molina</t>
  </si>
  <si>
    <t xml:space="preserve">edwinjhosua07@gmail.com</t>
  </si>
  <si>
    <t xml:space="preserve">Norma Edhith Rosillo Morocho</t>
  </si>
  <si>
    <t xml:space="preserve">normarosillom1993@gmail.com</t>
  </si>
  <si>
    <t xml:space="preserve">Ricardo Andrade Ortega</t>
  </si>
  <si>
    <t xml:space="preserve">rikardavid@yahoo.es</t>
  </si>
  <si>
    <t xml:space="preserve">Lilibeth Coronel</t>
  </si>
  <si>
    <t xml:space="preserve">mayra_coronel2685@hotmail.com</t>
  </si>
  <si>
    <t xml:space="preserve">Evelyn Rosero</t>
  </si>
  <si>
    <t xml:space="preserve">roseroevelyn089@gmail.com</t>
  </si>
  <si>
    <t xml:space="preserve">Kira Marria Valdez Fernandez</t>
  </si>
  <si>
    <t xml:space="preserve">fernandamariaquintero961@gmail.com</t>
  </si>
  <si>
    <t xml:space="preserve">Patrick Sarango</t>
  </si>
  <si>
    <t xml:space="preserve">Patriciosarango2@gmail.com</t>
  </si>
  <si>
    <t xml:space="preserve">Maribel Guacho</t>
  </si>
  <si>
    <t xml:space="preserve">maffer02_edisson01@hotmail.com</t>
  </si>
  <si>
    <t xml:space="preserve">Erika Aspiazu</t>
  </si>
  <si>
    <t xml:space="preserve">aspiazuerika@gmail.com</t>
  </si>
  <si>
    <t xml:space="preserve">Jenniffer Guevara</t>
  </si>
  <si>
    <t xml:space="preserve">jennguevarag27@gmail.com</t>
  </si>
  <si>
    <t xml:space="preserve">Se contacta no responde llamada se envia correo electronico</t>
  </si>
  <si>
    <t xml:space="preserve">Kathiuska López</t>
  </si>
  <si>
    <t xml:space="preserve">Kathiuska.marlene.lopez82@gmail.com</t>
  </si>
  <si>
    <t xml:space="preserve">Indica que esta en el banco que la vuelva a llamar en 20 min</t>
  </si>
  <si>
    <t xml:space="preserve">Indica que aun esta con el inconveniente en el banco que la llame mas tarde porque esta interesada en la informacion</t>
  </si>
  <si>
    <t xml:space="preserve">Indica que solo desea tomar las 2 materias que reprobo en la maestrai se brinda informaicon se volvera  ainscribir en las materias reprobadas</t>
  </si>
  <si>
    <t xml:space="preserve">Maricelan Merch</t>
  </si>
  <si>
    <t xml:space="preserve">mricela_89@hotmail.com</t>
  </si>
  <si>
    <t xml:space="preserve">Ricardo Quijije S</t>
  </si>
  <si>
    <t xml:space="preserve">ricardoqu44@gmail.com</t>
  </si>
  <si>
    <t xml:space="preserve">Telefono apagado se envia informacionn por correo</t>
  </si>
  <si>
    <t xml:space="preserve">Valeska Lavayen</t>
  </si>
  <si>
    <t xml:space="preserve">valesk_14_93@hotmail.com</t>
  </si>
  <si>
    <t xml:space="preserve">Indica que es tecnologa y desea maestria se explica que no pujede ya que no es de 3er nivel e indcia que va a esperar que se habiliten las maestrias para tecnologias porque no desea otra carrera homologar</t>
  </si>
  <si>
    <t xml:space="preserve">Eddie Yuki</t>
  </si>
  <si>
    <t xml:space="preserve">Edisonyukilema@gmail.com</t>
  </si>
  <si>
    <t xml:space="preserve">SE CONTACTA ABRE LA LLAMADA Y NO HABLA SE VUELVE A CONTACTAR PERO YA NO CONTESTA</t>
  </si>
  <si>
    <t xml:space="preserve">Paula Valentina Erazo Luna</t>
  </si>
  <si>
    <t xml:space="preserve">mplunac@corporaciongpf.com</t>
  </si>
  <si>
    <t xml:space="preserve">Indica que no esta interesada por los horarios que no se ajustan no desea</t>
  </si>
  <si>
    <t xml:space="preserve">Marcela Cristina Romero Espinoza</t>
  </si>
  <si>
    <t xml:space="preserve">marcelita_romero_92@hotmail.com</t>
  </si>
  <si>
    <t xml:space="preserve">Se contacta abren la llamada pero no hablan se envia informacionn por correo </t>
  </si>
  <si>
    <t xml:space="preserve">Maricarmen Cedeno</t>
  </si>
  <si>
    <t xml:space="preserve">mccr2@hotmail.com</t>
  </si>
  <si>
    <t xml:space="preserve">Victoria Rendon</t>
  </si>
  <si>
    <t xml:space="preserve">victoria_rendon@hotmail.com</t>
  </si>
  <si>
    <t xml:space="preserve">Gianella Cruz</t>
  </si>
  <si>
    <t xml:space="preserve">gianellacruzortiz@gmail.com</t>
  </si>
  <si>
    <t xml:space="preserve">Indica que no puede atenderme en este momento y que le envie por correo se envia informativo volver a contactar a partir de las 16:00</t>
  </si>
  <si>
    <t xml:space="preserve">Elsi Leonor Orellana R</t>
  </si>
  <si>
    <t xml:space="preserve">elsi_31@hotmail.com</t>
  </si>
  <si>
    <t xml:space="preserve">Marlon Suarez Briones</t>
  </si>
  <si>
    <t xml:space="preserve">suabrio_14_85@hotmail.com</t>
  </si>
  <si>
    <t xml:space="preserve">Gomez Gilda</t>
  </si>
  <si>
    <t xml:space="preserve">Gilda_construmesa@hotmail.com</t>
  </si>
  <si>
    <t xml:space="preserve">Sabrina Estefania</t>
  </si>
  <si>
    <t xml:space="preserve">sabrinacruz_22@hotmail.com</t>
  </si>
  <si>
    <t xml:space="preserve">INDICA QUE LA VUELVA A LLAMAR YA QUE NO ESTA SEGURA PORQUE LA QUE DESEA ES CIENCIAS DE LA EDUCACIÓN</t>
  </si>
  <si>
    <t xml:space="preserve">Jaime Rolando Saltos Poveda</t>
  </si>
  <si>
    <t xml:space="preserve">jaime-saltos24@hotmail.com</t>
  </si>
  <si>
    <t xml:space="preserve">Mv Edison Zambrano</t>
  </si>
  <si>
    <t xml:space="preserve">romariozambrano2009@hotmail.com</t>
  </si>
  <si>
    <t xml:space="preserve">Rodrigo Borja Vega</t>
  </si>
  <si>
    <t xml:space="preserve">circuitos89@gmail.com</t>
  </si>
  <si>
    <t xml:space="preserve">Dimas Banguera</t>
  </si>
  <si>
    <t xml:space="preserve">dimasgames12@gmail.com</t>
  </si>
  <si>
    <t xml:space="preserve">Jinnel Guarnizo</t>
  </si>
  <si>
    <t xml:space="preserve">nineflakita@hotmail.com</t>
  </si>
  <si>
    <t xml:space="preserve">no contesta buzon de buzon de voz</t>
  </si>
  <si>
    <t xml:space="preserve">Jordan Villamar</t>
  </si>
  <si>
    <t xml:space="preserve">jordyvillamar2000@hotmail.com</t>
  </si>
  <si>
    <t xml:space="preserve">Enrique Espadero</t>
  </si>
  <si>
    <t xml:space="preserve">cari_mo@live.com</t>
  </si>
  <si>
    <t xml:space="preserve">Se brinda toda la asesoría, indica asistir directamente a la Uteg </t>
  </si>
  <si>
    <t xml:space="preserve">Alexandra Elizabeth Mero Mendoza</t>
  </si>
  <si>
    <t xml:space="preserve">ely9752@hotmail.com</t>
  </si>
  <si>
    <t xml:space="preserve">Cristian Quiñonez</t>
  </si>
  <si>
    <t xml:space="preserve">cristiangabrielqt001@gmail.com</t>
  </si>
  <si>
    <t xml:space="preserve">solicito informacion por whatsapp</t>
  </si>
  <si>
    <t xml:space="preserve">Lidia Carriel</t>
  </si>
  <si>
    <t xml:space="preserve">lidiaviviana_26@yahoo.es</t>
  </si>
  <si>
    <t xml:space="preserve">no contesta buzon de voz</t>
  </si>
  <si>
    <t xml:space="preserve">Ericka Liliana Medina</t>
  </si>
  <si>
    <t xml:space="preserve">erickamedina.elmm@gmail.com</t>
  </si>
  <si>
    <t xml:space="preserve">Karla Velez</t>
  </si>
  <si>
    <t xml:space="preserve">karlavz24@outlook.es</t>
  </si>
  <si>
    <t xml:space="preserve">visitara la uteg</t>
  </si>
  <si>
    <t xml:space="preserve">Katherine Sarmiento</t>
  </si>
  <si>
    <t xml:space="preserve">katta.sarmiento@gmail.com</t>
  </si>
  <si>
    <t xml:space="preserve">volver a llamar se encuentra ocupada</t>
  </si>
  <si>
    <t xml:space="preserve">Carlos David Echeverria</t>
  </si>
  <si>
    <t xml:space="preserve">c_echeverria87@hotmail.com</t>
  </si>
  <si>
    <t xml:space="preserve">Jenny Vargas</t>
  </si>
  <si>
    <t xml:space="preserve">jennivtorres2013@hotmail.com</t>
  </si>
  <si>
    <t xml:space="preserve">Katherine Andrade</t>
  </si>
  <si>
    <t xml:space="preserve">katty_andcev@hotmail.com</t>
  </si>
  <si>
    <t xml:space="preserve">se le envio informacion por whatsapp</t>
  </si>
  <si>
    <t xml:space="preserve">Nathalye P Crispin</t>
  </si>
  <si>
    <t xml:space="preserve">karenpc_89@hotmail.com</t>
  </si>
  <si>
    <t xml:space="preserve">se le envio informacion al correo electronico ya que no posee tlf</t>
  </si>
  <si>
    <t xml:space="preserve">Marcos Gualpa</t>
  </si>
  <si>
    <t xml:space="preserve">gualpa.alajo16@hotmail.com</t>
  </si>
  <si>
    <t xml:space="preserve">Jose Anthonio Rivas</t>
  </si>
  <si>
    <t xml:space="preserve">Josetoti .97@gmail.com</t>
  </si>
  <si>
    <t xml:space="preserve">Sarita Mendez</t>
  </si>
  <si>
    <t xml:space="preserve">briggette968@gmail.com</t>
  </si>
  <si>
    <t xml:space="preserve">Panchojr JF</t>
  </si>
  <si>
    <t xml:space="preserve">chino_11_bsc@hotmail.com</t>
  </si>
  <si>
    <t xml:space="preserve">no contesta  buzon de voz</t>
  </si>
  <si>
    <t xml:space="preserve">Tania Daniela Pinto</t>
  </si>
  <si>
    <t xml:space="preserve">dani-12018@hotmail.com</t>
  </si>
  <si>
    <t xml:space="preserve">Gerar A Loor Perez</t>
  </si>
  <si>
    <t xml:space="preserve">Snaiderjacob@outlook.com</t>
  </si>
  <si>
    <t xml:space="preserve">volver a llamar se encuentra ocupado</t>
  </si>
  <si>
    <t xml:space="preserve">Edison Geovanny Peña Aldaz</t>
  </si>
  <si>
    <t xml:space="preserve">geovanny145614@hotmail.com</t>
  </si>
  <si>
    <t xml:space="preserve">Marilu Sanchez</t>
  </si>
  <si>
    <t xml:space="preserve">maryelizasanchezreyes@gmail.com</t>
  </si>
  <si>
    <t xml:space="preserve">Delhy Espinoza</t>
  </si>
  <si>
    <t xml:space="preserve">delhy.espinoza@gmail.com</t>
  </si>
  <si>
    <t xml:space="preserve">Karen Daleska Ramos</t>
  </si>
  <si>
    <t xml:space="preserve">karenramosdelgado@gmail.com</t>
  </si>
  <si>
    <t xml:space="preserve">se le brindo informacion volver a llamar para saber que decision tomara</t>
  </si>
  <si>
    <t xml:space="preserve">Andy Martinez</t>
  </si>
  <si>
    <t xml:space="preserve">jesusmartinezvargas25@hotmail.com</t>
  </si>
  <si>
    <t xml:space="preserve">genesis anabelle alvarado</t>
  </si>
  <si>
    <t xml:space="preserve">genesis5691@hotmail.com</t>
  </si>
  <si>
    <t xml:space="preserve">Guadalupe Sornoza Zavala</t>
  </si>
  <si>
    <t xml:space="preserve">sornozaguadalupe1@gimeil.con</t>
  </si>
  <si>
    <t xml:space="preserve">Samuelito Oswaldo Luna Menendez</t>
  </si>
  <si>
    <t xml:space="preserve">lunamanuel6@gmail.com</t>
  </si>
  <si>
    <t xml:space="preserve">volver a llamar no se encontraba en  casa</t>
  </si>
  <si>
    <t xml:space="preserve">Stalin Aquieta</t>
  </si>
  <si>
    <t xml:space="preserve">blanquitascecilia@outlook.com</t>
  </si>
  <si>
    <t xml:space="preserve">Karla Vera</t>
  </si>
  <si>
    <t xml:space="preserve">karlavivece@hotmail.com</t>
  </si>
  <si>
    <t xml:space="preserve">Gustavo TP</t>
  </si>
  <si>
    <t xml:space="preserve">lexus_67gus@hotmail.com</t>
  </si>
  <si>
    <t xml:space="preserve">Betsi Saenz</t>
  </si>
  <si>
    <t xml:space="preserve">saenzbetsy@gmail.com</t>
  </si>
  <si>
    <t xml:space="preserve">Juan Pablo Cortez Altamirano</t>
  </si>
  <si>
    <t xml:space="preserve">jpcortez22@hotmail.com</t>
  </si>
  <si>
    <t xml:space="preserve">Ivian Fierro</t>
  </si>
  <si>
    <t xml:space="preserve">ivanfierroev@gmail.com</t>
  </si>
  <si>
    <t xml:space="preserve">Aura Elizabeth Cabrera Garcia</t>
  </si>
  <si>
    <t xml:space="preserve">cgae.2300237720@gmail.com</t>
  </si>
  <si>
    <t xml:space="preserve">Xamira Xian</t>
  </si>
  <si>
    <t xml:space="preserve">Jefnote@hotmail.com</t>
  </si>
  <si>
    <t xml:space="preserve">Flores Mao</t>
  </si>
  <si>
    <t xml:space="preserve">maoliflores-88@outlook.com</t>
  </si>
  <si>
    <t xml:space="preserve">Pamelita Verduga</t>
  </si>
  <si>
    <t xml:space="preserve">pnena-04@hotmail.com</t>
  </si>
  <si>
    <t xml:space="preserve">volver a llamar se encuentra en la calle</t>
  </si>
  <si>
    <t xml:space="preserve">Evelyn hernandez</t>
  </si>
  <si>
    <t xml:space="preserve">Mija_1706@hotmail.com</t>
  </si>
  <si>
    <t xml:space="preserve">Princzz Olguiz Toabanda</t>
  </si>
  <si>
    <t xml:space="preserve">olguis-loveyou@hotmail.com</t>
  </si>
  <si>
    <t xml:space="preserve">Fatima Moreno</t>
  </si>
  <si>
    <t xml:space="preserve">fm67102@gmail.com</t>
  </si>
  <si>
    <t xml:space="preserve">Ali ortiz</t>
  </si>
  <si>
    <t xml:space="preserve">Alip87793@gmail.com</t>
  </si>
  <si>
    <t xml:space="preserve">Paola Molina</t>
  </si>
  <si>
    <t xml:space="preserve">salameeli@hotmail.com</t>
  </si>
  <si>
    <t xml:space="preserve">angel marvin</t>
  </si>
  <si>
    <t xml:space="preserve">angelsontain@hotmail.com</t>
  </si>
  <si>
    <t xml:space="preserve">Jenniffer Tabares</t>
  </si>
  <si>
    <t xml:space="preserve">edithtabares1998@outlook.com</t>
  </si>
  <si>
    <t xml:space="preserve">jefferson mera</t>
  </si>
  <si>
    <t xml:space="preserve">jefferson_mera@hotmail.com</t>
  </si>
  <si>
    <t xml:space="preserve">no cotesta buzon de voz</t>
  </si>
  <si>
    <t xml:space="preserve">volver a llamar se encuentra ocupada en el trabajo</t>
  </si>
  <si>
    <t xml:space="preserve">Patricia Alcoser</t>
  </si>
  <si>
    <t xml:space="preserve">myriam.alcoser@latinaseguros.com.ec</t>
  </si>
  <si>
    <t xml:space="preserve">Andrea Ronquillo</t>
  </si>
  <si>
    <t xml:space="preserve">andrearonquillo2000@gmail.com</t>
  </si>
  <si>
    <t xml:space="preserve">Priscila Intriago</t>
  </si>
  <si>
    <t xml:space="preserve">mariapriscila_1993@ hotmail .com</t>
  </si>
  <si>
    <t xml:space="preserve">josesanchezmorocho1988@gmail.com</t>
  </si>
  <si>
    <t xml:space="preserve">Pepeyo Perea Valencia</t>
  </si>
  <si>
    <t xml:space="preserve">Josejoseperea@hotmail.com</t>
  </si>
  <si>
    <t xml:space="preserve">Yuly Carranza De M Cedeño</t>
  </si>
  <si>
    <t xml:space="preserve">yulycarranza1998@outlook.es</t>
  </si>
  <si>
    <t xml:space="preserve">Kevin Valverde Gonzalez Kevago</t>
  </si>
  <si>
    <t xml:space="preserve">kevinpaul_9@hotmail.com</t>
  </si>
  <si>
    <t xml:space="preserve">Anita Garcia Cabeza</t>
  </si>
  <si>
    <t xml:space="preserve">anita_291087@hotmail.com</t>
  </si>
  <si>
    <t xml:space="preserve">Ana Peñafiel</t>
  </si>
  <si>
    <t xml:space="preserve">anapen64@gmail.com</t>
  </si>
  <si>
    <t xml:space="preserve">Ana Chancay</t>
  </si>
  <si>
    <t xml:space="preserve">achbaque81@gmail.com</t>
  </si>
  <si>
    <t xml:space="preserve">Junior Reyes</t>
  </si>
  <si>
    <t xml:space="preserve">Juhrp2013@gmail.com</t>
  </si>
  <si>
    <t xml:space="preserve">no contesta buzon d evoz</t>
  </si>
  <si>
    <t xml:space="preserve">Pame Ubilla</t>
  </si>
  <si>
    <t xml:space="preserve">pamelaubillayepez@live.com</t>
  </si>
  <si>
    <t xml:space="preserve">se le brindo informacion visita la uteg</t>
  </si>
  <si>
    <t xml:space="preserve">Segundo Jose Guacho Cuñishpuma</t>
  </si>
  <si>
    <t xml:space="preserve">Elbuensembradorinternacional@hotmail.com</t>
  </si>
  <si>
    <t xml:space="preserve">stefany Chesme</t>
  </si>
  <si>
    <t xml:space="preserve">chesmevargas@gmail.com</t>
  </si>
  <si>
    <t xml:space="preserve">volver a llamar se encuentra de viaje</t>
  </si>
  <si>
    <t xml:space="preserve">Juan Macao</t>
  </si>
  <si>
    <t xml:space="preserve">j_macao@yahoo.com</t>
  </si>
  <si>
    <t xml:space="preserve">no contesta, buzon de voz</t>
  </si>
  <si>
    <t xml:space="preserve">Guido Armijos</t>
  </si>
  <si>
    <t xml:space="preserve">guidomathias105@gmail.com</t>
  </si>
  <si>
    <t xml:space="preserve">Fausto Benjamin Chacon</t>
  </si>
  <si>
    <t xml:space="preserve">faustoch1993@gmail.com</t>
  </si>
  <si>
    <t xml:space="preserve">Erika Colón de González</t>
  </si>
  <si>
    <t xml:space="preserve">erikamarcela.77@hotmail.com</t>
  </si>
  <si>
    <t xml:space="preserve">volver a llamar no se encuentra en la casa</t>
  </si>
  <si>
    <t xml:space="preserve">Isaac Jeremy Valencia G</t>
  </si>
  <si>
    <t xml:space="preserve">i.v.j.g-22-22@hotmail.com</t>
  </si>
  <si>
    <t xml:space="preserve">volver a llamar no se encontraba en casa</t>
  </si>
  <si>
    <t xml:space="preserve">Jessica Chalaco</t>
  </si>
  <si>
    <t xml:space="preserve">jsk.chalaco@gmail.com</t>
  </si>
  <si>
    <t xml:space="preserve">Sandyş Padilla Gä</t>
  </si>
  <si>
    <t xml:space="preserve">sandrapadilla1784@gmail.com</t>
  </si>
  <si>
    <t xml:space="preserve">solicito informacion al correo electronico volver a llamar</t>
  </si>
  <si>
    <t xml:space="preserve">Maryuri Jaramillo</t>
  </si>
  <si>
    <t xml:space="preserve">mayuyeari@hotmail.com</t>
  </si>
  <si>
    <t xml:space="preserve">se le brindo informacion pensara que decision tomara (volver a llamar)</t>
  </si>
  <si>
    <t xml:space="preserve">gabriela_21_c@hotmail.com</t>
  </si>
  <si>
    <t xml:space="preserve">Jessy Merchan</t>
  </si>
  <si>
    <t xml:space="preserve">jess.merchan1107@gmail.com</t>
  </si>
  <si>
    <t xml:space="preserve">Erika Roxana Coloma Castro</t>
  </si>
  <si>
    <t xml:space="preserve">erickacolomac_23@outlook.com</t>
  </si>
  <si>
    <t xml:space="preserve">volver a llamar se encuentra en el trabajo</t>
  </si>
  <si>
    <t xml:space="preserve">Sandy Gomez Cruz</t>
  </si>
  <si>
    <t xml:space="preserve">ydnas_29@hotmail.com</t>
  </si>
  <si>
    <t xml:space="preserve">se brinda asesoria quedo en comunicarse cuando tome una decision</t>
  </si>
  <si>
    <t xml:space="preserve">josé Caicedo</t>
  </si>
  <si>
    <t xml:space="preserve">demo1994-@hotmail.com</t>
  </si>
  <si>
    <t xml:space="preserve">Susanitap Jadan Luceritop</t>
  </si>
  <si>
    <t xml:space="preserve">susana_16teamo@hotmail.com</t>
  </si>
  <si>
    <t xml:space="preserve">Erick Saenz</t>
  </si>
  <si>
    <t xml:space="preserve">serickdavid12@gmail.com</t>
  </si>
  <si>
    <t xml:space="preserve">Ermen Benitez Miraba</t>
  </si>
  <si>
    <t xml:space="preserve">ermenbm87@gmail.com</t>
  </si>
  <si>
    <t xml:space="preserve">Michaelle Dueñas G.</t>
  </si>
  <si>
    <t xml:space="preserve">michaelle_duenas.97@hotmail.com</t>
  </si>
  <si>
    <t xml:space="preserve">Laleska Banchón</t>
  </si>
  <si>
    <t xml:space="preserve">laleska_1999@hotmail.com</t>
  </si>
  <si>
    <t xml:space="preserve">Criss Cordova</t>
  </si>
  <si>
    <t xml:space="preserve">cristhian.cordova@hotmail.com</t>
  </si>
  <si>
    <t xml:space="preserve">Säbrinä Eštěfäniä</t>
  </si>
  <si>
    <t xml:space="preserve">estefaniababyforever1992@gmail.com</t>
  </si>
  <si>
    <t xml:space="preserve">se le brindo la informacion volver a llamar</t>
  </si>
  <si>
    <t xml:space="preserve">shirley grenddy holguin camacho</t>
  </si>
  <si>
    <t xml:space="preserve">afabshirleyholguincamacho@gmail.com</t>
  </si>
  <si>
    <t xml:space="preserve">Tito Omar</t>
  </si>
  <si>
    <t xml:space="preserve">camposburgos22@gmail.com</t>
  </si>
  <si>
    <t xml:space="preserve">Ramiro Chiluisa</t>
  </si>
  <si>
    <t xml:space="preserve">rap29-19@outlook.com</t>
  </si>
  <si>
    <t xml:space="preserve">volver a llamar para saber que decision tomara</t>
  </si>
  <si>
    <t xml:space="preserve">Lizz Diaz</t>
  </si>
  <si>
    <t xml:space="preserve">elizabethmargarita@hotmail.es</t>
  </si>
  <si>
    <t xml:space="preserve">descartada no esta interesada</t>
  </si>
  <si>
    <t xml:space="preserve">Vicente Gordon Panchez</t>
  </si>
  <si>
    <t xml:space="preserve">gp3mjd@hotmail.com</t>
  </si>
  <si>
    <t xml:space="preserve">Adri Gavilanes</t>
  </si>
  <si>
    <t xml:space="preserve">adrianitadelrocio@hotmail.com</t>
  </si>
  <si>
    <t xml:space="preserve">Jacke Zambrano</t>
  </si>
  <si>
    <t xml:space="preserve">alejandrazambrano1996@gmail.com</t>
  </si>
  <si>
    <t xml:space="preserve">volver a llamar no se encuentra en casa</t>
  </si>
  <si>
    <t xml:space="preserve">bella calle</t>
  </si>
  <si>
    <t xml:space="preserve">bellacalle49@gmail.com</t>
  </si>
  <si>
    <t xml:space="preserve">Alexandra Sigua</t>
  </si>
  <si>
    <t xml:space="preserve">alexsigua1@hotmail.com</t>
  </si>
  <si>
    <t xml:space="preserve">iliana87</t>
  </si>
  <si>
    <t xml:space="preserve">ilianaarce1987@gmail.com</t>
  </si>
  <si>
    <t xml:space="preserve">no contesta , buzon de voz</t>
  </si>
  <si>
    <t xml:space="preserve">Fernanda Ocampo</t>
  </si>
  <si>
    <t xml:space="preserve">fer_chikita_94@hotmail.com</t>
  </si>
  <si>
    <t xml:space="preserve">Josselyn Lisbeth</t>
  </si>
  <si>
    <t xml:space="preserve">jozzlis08@gmail.com</t>
  </si>
  <si>
    <t xml:space="preserve">Zaida Sandoval</t>
  </si>
  <si>
    <t xml:space="preserve">zaidasandoval2015@gmail.com</t>
  </si>
  <si>
    <t xml:space="preserve">se encuentra ocupada en el trabajo volver a llamar</t>
  </si>
  <si>
    <t xml:space="preserve">Alisito Olivo</t>
  </si>
  <si>
    <t xml:space="preserve">velezalisson0@gmail.com</t>
  </si>
  <si>
    <t xml:space="preserve">Sunem Sanchez</t>
  </si>
  <si>
    <t xml:space="preserve">sunem20_anai@hotmail.com</t>
  </si>
  <si>
    <t xml:space="preserve">se le brindo informacion a la espera de su confirmacion (volver a llamar)</t>
  </si>
  <si>
    <t xml:space="preserve">Maria Escobar</t>
  </si>
  <si>
    <t xml:space="preserve">mari_escobar15@hotmail.com</t>
  </si>
  <si>
    <t xml:space="preserve">And-Juli Zapata</t>
  </si>
  <si>
    <t xml:space="preserve">july_zapata01@hotmail.com</t>
  </si>
  <si>
    <t xml:space="preserve">Jessi Males</t>
  </si>
  <si>
    <t xml:space="preserve">jessipmb7@gmail.com</t>
  </si>
  <si>
    <t xml:space="preserve">esta interesada volver a llamar </t>
  </si>
  <si>
    <t xml:space="preserve">Dylan Orlando Oyague</t>
  </si>
  <si>
    <t xml:space="preserve">wilo_jandry@hotmail.com</t>
  </si>
  <si>
    <t xml:space="preserve">Enma Contreras</t>
  </si>
  <si>
    <t xml:space="preserve">enma.contreras@yahoo.es</t>
  </si>
  <si>
    <t xml:space="preserve">Vicky Macias</t>
  </si>
  <si>
    <t xml:space="preserve">vicomacias.90@gmail.com</t>
  </si>
  <si>
    <t xml:space="preserve">Diego March</t>
  </si>
  <si>
    <t xml:space="preserve">dieguitomarcelo1717@gmail.com</t>
  </si>
  <si>
    <t xml:space="preserve">Macias Jose</t>
  </si>
  <si>
    <t xml:space="preserve">rmacias_ec@hotmail.com</t>
  </si>
  <si>
    <t xml:space="preserve">Ana C Loor</t>
  </si>
  <si>
    <t xml:space="preserve">anacarvajalloor@hotmail.com</t>
  </si>
  <si>
    <t xml:space="preserve">Joselyn Garcia</t>
  </si>
  <si>
    <t xml:space="preserve">joselyngarcia1996@hotmail.con</t>
  </si>
  <si>
    <t xml:space="preserve">Mercy Ulloa</t>
  </si>
  <si>
    <t xml:space="preserve">mejuulcu@hotmail.com</t>
  </si>
  <si>
    <t xml:space="preserve">el numero esta suspendido no contesta</t>
  </si>
  <si>
    <t xml:space="preserve">Ericka Salazar</t>
  </si>
  <si>
    <t xml:space="preserve">erickita_87@hotmail.com</t>
  </si>
  <si>
    <t xml:space="preserve">hadablank_186@hotmail.com</t>
  </si>
  <si>
    <t xml:space="preserve">sollicito informacion por correo electronico volver a llamar</t>
  </si>
  <si>
    <t xml:space="preserve">Carmen Luna</t>
  </si>
  <si>
    <t xml:space="preserve">carmenlunaduarte9@hotmail.com</t>
  </si>
  <si>
    <t xml:space="preserve">Viviana Castro M</t>
  </si>
  <si>
    <t xml:space="preserve">Verito_ruddy@hotmail.com</t>
  </si>
  <si>
    <t xml:space="preserve">se le envio informacion al correo electronico</t>
  </si>
  <si>
    <t xml:space="preserve">Carlos Zambrano</t>
  </si>
  <si>
    <t xml:space="preserve">steffycf@hotmail.com</t>
  </si>
  <si>
    <t xml:space="preserve">Karen Liliana Estrella Andrade</t>
  </si>
  <si>
    <t xml:space="preserve">estrellita0790@hotmail.com</t>
  </si>
  <si>
    <t xml:space="preserve">Arcesio Sabando Vera</t>
  </si>
  <si>
    <t xml:space="preserve">arcesio_1989-23@hotmail.com</t>
  </si>
  <si>
    <t xml:space="preserve">Leonardo Palma</t>
  </si>
  <si>
    <t xml:space="preserve">palmaleo1997@gmail.com</t>
  </si>
  <si>
    <t xml:space="preserve">Javier Elias Grefa Grefa</t>
  </si>
  <si>
    <t xml:space="preserve">javier.elias66@hotmail.com</t>
  </si>
  <si>
    <t xml:space="preserve">se le envio informacion al correo electroncio (volver a llamar)</t>
  </si>
  <si>
    <t xml:space="preserve">Susana Yantalema</t>
  </si>
  <si>
    <t xml:space="preserve">susna.yantalemag@hotmail.com</t>
  </si>
  <si>
    <t xml:space="preserve">Yadira Méndez</t>
  </si>
  <si>
    <t xml:space="preserve">mely09mendez@gmail.com</t>
  </si>
  <si>
    <t xml:space="preserve">solicito informacion por correo electronico volver a llamar</t>
  </si>
  <si>
    <t xml:space="preserve">liliana dume</t>
  </si>
  <si>
    <t xml:space="preserve">liliana_dume_23@hotmail.com</t>
  </si>
  <si>
    <t xml:space="preserve">Marcelo Gabriel</t>
  </si>
  <si>
    <t xml:space="preserve">gabogabucho28@gmail.com</t>
  </si>
  <si>
    <t xml:space="preserve">solicito informacion a su correo electronico (volver a llamar)</t>
  </si>
  <si>
    <t xml:space="preserve">Danielita Granda</t>
  </si>
  <si>
    <t xml:space="preserve">kathering_22@hotmail.com</t>
  </si>
  <si>
    <t xml:space="preserve">volver a llamar se encuentra en un evento</t>
  </si>
  <si>
    <t xml:space="preserve">Paola Mariuxi Solorzano David</t>
  </si>
  <si>
    <t xml:space="preserve">milagro9000@hotmail.com</t>
  </si>
  <si>
    <t xml:space="preserve">jairon Almea Castro</t>
  </si>
  <si>
    <t xml:space="preserve">Daniel Sanchez N</t>
  </si>
  <si>
    <t xml:space="preserve">dani_sn12@hotmail.com</t>
  </si>
  <si>
    <t xml:space="preserve">anapen64@hotmail.com</t>
  </si>
  <si>
    <t xml:space="preserve">Rossy PN</t>
  </si>
  <si>
    <t xml:space="preserve">rossyparrales88@gmail.com</t>
  </si>
  <si>
    <t xml:space="preserve">se comunicara con nosotros cuando tome una decision (volver a llamar)</t>
  </si>
  <si>
    <t xml:space="preserve">Barber Nixon Bohorquez</t>
  </si>
  <si>
    <t xml:space="preserve">barberxon19@gmail.com</t>
  </si>
  <si>
    <t xml:space="preserve">Xavi Macay</t>
  </si>
  <si>
    <t xml:space="preserve">xavi-macay@hotmail.com</t>
  </si>
  <si>
    <t xml:space="preserve">volver a llamar se encuentra trabajando</t>
  </si>
  <si>
    <t xml:space="preserve">Alexander</t>
  </si>
  <si>
    <t xml:space="preserve">jonathan12234d@gmail.com</t>
  </si>
  <si>
    <t xml:space="preserve">Alex Vega Cruz</t>
  </si>
  <si>
    <t xml:space="preserve">carlosvega1330@hotmail.com</t>
  </si>
  <si>
    <t xml:space="preserve">Geovanna Pillajo</t>
  </si>
  <si>
    <t xml:space="preserve">alexgaby-chivas@hotmail.com</t>
  </si>
  <si>
    <t xml:space="preserve">maria lorena gualan taday</t>
  </si>
  <si>
    <t xml:space="preserve">marygualanlore1234@gmail.com</t>
  </si>
  <si>
    <t xml:space="preserve">Vismar Vargas</t>
  </si>
  <si>
    <t xml:space="preserve">vismarv719@gmail.com</t>
  </si>
  <si>
    <t xml:space="preserve">Gaby Santos</t>
  </si>
  <si>
    <t xml:space="preserve">gabysantos0422@gmail.com</t>
  </si>
  <si>
    <t xml:space="preserve">Galeas Robert</t>
  </si>
  <si>
    <t xml:space="preserve">carlos1990galeas@gmail.com</t>
  </si>
  <si>
    <t xml:space="preserve">Magdalena Flores Medina</t>
  </si>
  <si>
    <t xml:space="preserve">mandyfloresmedina95@gmail.com</t>
  </si>
  <si>
    <t xml:space="preserve">Aalexis maria vila bohorquez</t>
  </si>
  <si>
    <t xml:space="preserve">marialexis2065@hotmail.com</t>
  </si>
  <si>
    <t xml:space="preserve">Rodriguez Marcos</t>
  </si>
  <si>
    <t xml:space="preserve">Alavarodriguez1994@hotmail.com</t>
  </si>
  <si>
    <t xml:space="preserve">se le envio informacion al correo electronico (volver a llamar)</t>
  </si>
  <si>
    <t xml:space="preserve">Santiago Corral</t>
  </si>
  <si>
    <t xml:space="preserve">santcorral@gmail.com</t>
  </si>
  <si>
    <t xml:space="preserve">Pablo Villagomez</t>
  </si>
  <si>
    <t xml:space="preserve">josevillagomez2744@gmail.com</t>
  </si>
  <si>
    <t xml:space="preserve">Javier Espinoza</t>
  </si>
  <si>
    <t xml:space="preserve">jj2479.jeg@gmail.com</t>
  </si>
  <si>
    <t xml:space="preserve">Isavel Villagomez</t>
  </si>
  <si>
    <t xml:space="preserve">isabelv43@hotmail.com</t>
  </si>
  <si>
    <t xml:space="preserve">volver a llamar se encuentra en el banco</t>
  </si>
  <si>
    <t xml:space="preserve">Angel Chamba</t>
  </si>
  <si>
    <t xml:space="preserve">djangelchamba23@gmail.com</t>
  </si>
  <si>
    <t xml:space="preserve">volver a llamar (interesado)</t>
  </si>
  <si>
    <t xml:space="preserve">Marco Vinicio Quelal Pavón</t>
  </si>
  <si>
    <t xml:space="preserve">marcov.quelalp@gmail.com</t>
  </si>
  <si>
    <t xml:space="preserve">Gabriel Romero Reina</t>
  </si>
  <si>
    <t xml:space="preserve">romerosixto0426@hotmail.com</t>
  </si>
  <si>
    <t xml:space="preserve">Monica Guañuna</t>
  </si>
  <si>
    <t xml:space="preserve">monicajose8@hotmail.com</t>
  </si>
  <si>
    <t xml:space="preserve">volver a llamar se encuentra en una reunion</t>
  </si>
  <si>
    <t xml:space="preserve">Norma Plúa</t>
  </si>
  <si>
    <t xml:space="preserve">normitajanina74@gmail.com</t>
  </si>
  <si>
    <t xml:space="preserve">Fernando Alexander</t>
  </si>
  <si>
    <t xml:space="preserve">f_er_chov@hotmail.com</t>
  </si>
  <si>
    <t xml:space="preserve">solicito informacion al correo electronico (volver a llamar)</t>
  </si>
  <si>
    <t xml:space="preserve">Rous Paladines</t>
  </si>
  <si>
    <t xml:space="preserve">rospal_79@hotmail.com</t>
  </si>
  <si>
    <t xml:space="preserve">visitara la uteg y solicito informacion via whatsapp</t>
  </si>
  <si>
    <t xml:space="preserve">Wilmer Ramirez</t>
  </si>
  <si>
    <t xml:space="preserve">w_e_ramirez@hotmail.com</t>
  </si>
  <si>
    <t xml:space="preserve">se le dejo un msjs a una tercera persona ya que se encontaba trabajando ( volver a llamar)</t>
  </si>
  <si>
    <t xml:space="preserve">Angelo Gurumendi</t>
  </si>
  <si>
    <t xml:space="preserve">angelo_gurumendi@hotmail.com</t>
  </si>
  <si>
    <t xml:space="preserve">Byron Vera</t>
  </si>
  <si>
    <t xml:space="preserve">bveraalvear@gmail.com</t>
  </si>
  <si>
    <t xml:space="preserve">Alex Fabiàn Martìnez Gonzàlez</t>
  </si>
  <si>
    <t xml:space="preserve">alfamago17@hotmail.com</t>
  </si>
  <si>
    <t xml:space="preserve">Hamilton Choez Pluas</t>
  </si>
  <si>
    <t xml:space="preserve">hamiltonchoez@hotmail.com</t>
  </si>
  <si>
    <t xml:space="preserve">Denisse Valverde</t>
  </si>
  <si>
    <t xml:space="preserve">av804700@gmail.com</t>
  </si>
  <si>
    <t xml:space="preserve">Maria</t>
  </si>
  <si>
    <t xml:space="preserve">maripadilla222010@gmail.com</t>
  </si>
  <si>
    <t xml:space="preserve">se encuentra ocupada volver a llamar</t>
  </si>
  <si>
    <t xml:space="preserve">Jhonny Ronaldo Carbo Saavedra</t>
  </si>
  <si>
    <t xml:space="preserve">rokada1974@hotmail.com</t>
  </si>
  <si>
    <t xml:space="preserve">Alexi Burgos</t>
  </si>
  <si>
    <t xml:space="preserve">alexiburgos19@gmail.com</t>
  </si>
  <si>
    <t xml:space="preserve">se le brindo informacion ( volver a llamar para ver que decidio)</t>
  </si>
  <si>
    <t xml:space="preserve">Eyleen&amp;Joel</t>
  </si>
  <si>
    <t xml:space="preserve">eyleendlalanguib@gmail.com</t>
  </si>
  <si>
    <t xml:space="preserve">Chamakitop Luis Baidal Ramirez</t>
  </si>
  <si>
    <t xml:space="preserve">luisbaidalramorez1997@gmail.com</t>
  </si>
  <si>
    <t xml:space="preserve">Digna Chichanda</t>
  </si>
  <si>
    <t xml:space="preserve">dignachichanda01@gmail.com</t>
  </si>
  <si>
    <t xml:space="preserve">Carol Jaramillo</t>
  </si>
  <si>
    <t xml:space="preserve">Darwin Victor Peralta Reascos</t>
  </si>
  <si>
    <t xml:space="preserve">peraltadarwin353@gmail.com</t>
  </si>
  <si>
    <t xml:space="preserve">Kath</t>
  </si>
  <si>
    <t xml:space="preserve">kathsette9@gmail.com</t>
  </si>
  <si>
    <t xml:space="preserve">Gloria</t>
  </si>
  <si>
    <t xml:space="preserve">gloriaquinonezhall@gmail.com</t>
  </si>
  <si>
    <t xml:space="preserve">Genesis Hidalgo</t>
  </si>
  <si>
    <t xml:space="preserve">genesissimba23@gmail.com</t>
  </si>
  <si>
    <t xml:space="preserve">Santiago Joel Burgos</t>
  </si>
  <si>
    <t xml:space="preserve">santhigo_cabu@outlook.es</t>
  </si>
  <si>
    <t xml:space="preserve">Nick Michael Chumo Hurtado</t>
  </si>
  <si>
    <t xml:space="preserve">nickchumoh@gmail.com</t>
  </si>
  <si>
    <t xml:space="preserve">Damaris Elizabeth Bodero Bonilla</t>
  </si>
  <si>
    <t xml:space="preserve">dama1595@hotmail.com</t>
  </si>
  <si>
    <t xml:space="preserve">Franklin David Moreta Carreño</t>
  </si>
  <si>
    <t xml:space="preserve">frankcarreno_1994@hotmail.com</t>
  </si>
  <si>
    <t xml:space="preserve">tomara una decision con su familia volver a llamar</t>
  </si>
  <si>
    <t xml:space="preserve">Nikyta Condoy</t>
  </si>
  <si>
    <t xml:space="preserve">niky-1421@hotmail.com</t>
  </si>
  <si>
    <t xml:space="preserve">lo conversara con sus padres para ver que decision tomara (volver a llamar)</t>
  </si>
  <si>
    <t xml:space="preserve">Ketty Mendez</t>
  </si>
  <si>
    <t xml:space="preserve">volver a llamar no se encontraba en la casa</t>
  </si>
  <si>
    <t xml:space="preserve">oliver leonel rueda mayon</t>
  </si>
  <si>
    <t xml:space="preserve">oliver-rueda-6191@hotmail.com</t>
  </si>
  <si>
    <t xml:space="preserve">Orlandine Mendoza</t>
  </si>
  <si>
    <t xml:space="preserve">orlandine71@yahoo.com</t>
  </si>
  <si>
    <t xml:space="preserve">Angie Miranda Contreras</t>
  </si>
  <si>
    <t xml:space="preserve">angie.kiara@hotmail.com</t>
  </si>
  <si>
    <t xml:space="preserve">Sñrt Fernanda Cse</t>
  </si>
  <si>
    <t xml:space="preserve">lilibeth_larrosa@hotmail.com</t>
  </si>
  <si>
    <t xml:space="preserve">Rosi Espinoza</t>
  </si>
  <si>
    <t xml:space="preserve">rouschikitap1995@hotmail.com</t>
  </si>
  <si>
    <t xml:space="preserve">Maria Proaño Macias</t>
  </si>
  <si>
    <t xml:space="preserve">zoila_16706@hotmail.com</t>
  </si>
  <si>
    <t xml:space="preserve">se le brindo la informacion y llamara a la uteg para saber que descuentos hay disponibles para persona con discapacidad</t>
  </si>
  <si>
    <t xml:space="preserve">geovanny.p.a@outlook.es</t>
  </si>
  <si>
    <t xml:space="preserve">el numero no pertenece a la persona indicada</t>
  </si>
  <si>
    <t xml:space="preserve">Edgar JC</t>
  </si>
  <si>
    <t xml:space="preserve">jedgarj91@gmail.com</t>
  </si>
  <si>
    <t xml:space="preserve">Marcelo Zambrano</t>
  </si>
  <si>
    <t xml:space="preserve">marchelo_666.z@hotmail.com</t>
  </si>
  <si>
    <t xml:space="preserve">Karen Chávez Pilligua</t>
  </si>
  <si>
    <t xml:space="preserve">kandre170294@outlook.com</t>
  </si>
  <si>
    <t xml:space="preserve">Leonel Cardenas</t>
  </si>
  <si>
    <t xml:space="preserve">leo.dark@hotmail.com</t>
  </si>
  <si>
    <t xml:space="preserve">katiuska solari</t>
  </si>
  <si>
    <t xml:space="preserve">katiuskastefania@hotmail.com</t>
  </si>
  <si>
    <t xml:space="preserve">volver a llamar se encuentra en una emergencia</t>
  </si>
  <si>
    <t xml:space="preserve">Gabriel Lino</t>
  </si>
  <si>
    <t xml:space="preserve">gabriel.lino1973@hotmail.com</t>
  </si>
  <si>
    <t xml:space="preserve">Abraham Enrique</t>
  </si>
  <si>
    <t xml:space="preserve">enriquecampoverde10@gmail.com</t>
  </si>
  <si>
    <t xml:space="preserve">Marjorie Vera</t>
  </si>
  <si>
    <t xml:space="preserve">malexandra.veraminda@outlook.es</t>
  </si>
  <si>
    <t xml:space="preserve">Nani Plaza</t>
  </si>
  <si>
    <t xml:space="preserve">danny_g71@hotmail.com</t>
  </si>
  <si>
    <t xml:space="preserve">Janett Lema</t>
  </si>
  <si>
    <t xml:space="preserve">pattydmd@gmail.com</t>
  </si>
  <si>
    <t xml:space="preserve">solicito informacion por correo electronico (volver a llamar)</t>
  </si>
  <si>
    <t xml:space="preserve">Carlos Icgp Oviedo</t>
  </si>
  <si>
    <t xml:space="preserve">carlosivania26@gmail.com</t>
  </si>
  <si>
    <t xml:space="preserve">Janeth Vera</t>
  </si>
  <si>
    <t xml:space="preserve">janenegrita.27@gmail.com</t>
  </si>
  <si>
    <t xml:space="preserve">Enrique Mora</t>
  </si>
  <si>
    <t xml:space="preserve">mauro_mo1995@hotmail.com</t>
  </si>
  <si>
    <t xml:space="preserve">volver a llamar se escucha muy bajo la llamada</t>
  </si>
  <si>
    <t xml:space="preserve">Elliot Ismael Iturralde Delgado</t>
  </si>
  <si>
    <t xml:space="preserve">emelec-campeon26@hotmail.com</t>
  </si>
  <si>
    <t xml:space="preserve">Andreliss López Maita</t>
  </si>
  <si>
    <t xml:space="preserve">andrealopez98796@gmail.com</t>
  </si>
  <si>
    <t xml:space="preserve">marian karen alcivar zambrano</t>
  </si>
  <si>
    <t xml:space="preserve">arialys197903@hotmail.com</t>
  </si>
  <si>
    <t xml:space="preserve">Liliana Ar Ja</t>
  </si>
  <si>
    <t xml:space="preserve">lilianaaranea@hotmail.com</t>
  </si>
  <si>
    <t xml:space="preserve">vivibaque95</t>
  </si>
  <si>
    <t xml:space="preserve">vivi-bo1995@outlook.es</t>
  </si>
  <si>
    <t xml:space="preserve">Henry Franco</t>
  </si>
  <si>
    <t xml:space="preserve">henry—ronald@hotmail.com</t>
  </si>
  <si>
    <t xml:space="preserve">se le envio informacion al correo electronico </t>
  </si>
  <si>
    <t xml:space="preserve">Percy Pincay</t>
  </si>
  <si>
    <t xml:space="preserve">Nelly Fäbïolä Indacochea</t>
  </si>
  <si>
    <t xml:space="preserve">mayerlysagitario@hotmail.com</t>
  </si>
  <si>
    <t xml:space="preserve">Edisson Grijalva</t>
  </si>
  <si>
    <t xml:space="preserve">edissongrijalva1983@hotmail.com</t>
  </si>
  <si>
    <t xml:space="preserve">Vinueza M Varela</t>
  </si>
  <si>
    <t xml:space="preserve">vvmercym@hotmail.com</t>
  </si>
  <si>
    <t xml:space="preserve">Rocio Ruiz</t>
  </si>
  <si>
    <t xml:space="preserve">nancyruiz33@hotmail.com</t>
  </si>
  <si>
    <t xml:space="preserve">Vanidades "Princesita de Dios"</t>
  </si>
  <si>
    <t xml:space="preserve">briggitte.cuesta.alvarado@hotmail.com</t>
  </si>
  <si>
    <t xml:space="preserve">Nathalie Sánchez</t>
  </si>
  <si>
    <t xml:space="preserve">diana_163@live.com</t>
  </si>
  <si>
    <t xml:space="preserve">lo consultara  con sus padres volver a llamar</t>
  </si>
  <si>
    <t xml:space="preserve">Tatiana Aguirre</t>
  </si>
  <si>
    <t xml:space="preserve">taty_ban@hotmail.es</t>
  </si>
  <si>
    <t xml:space="preserve">Gaby Aldas</t>
  </si>
  <si>
    <t xml:space="preserve">gabriela.aldas@yahoo.com</t>
  </si>
  <si>
    <t xml:space="preserve">Taty Valladares</t>
  </si>
  <si>
    <t xml:space="preserve">tatianavalladares14@gmail.com</t>
  </si>
  <si>
    <t xml:space="preserve">Alexander Jose Pincay Rosado</t>
  </si>
  <si>
    <t xml:space="preserve">jose-andres_1995@hotmail.com</t>
  </si>
  <si>
    <t xml:space="preserve">Darwin Israel Zuñiga Diaz</t>
  </si>
  <si>
    <t xml:space="preserve">parrita2110@hotmail.com</t>
  </si>
  <si>
    <t xml:space="preserve">Pinto Dely Margareth</t>
  </si>
  <si>
    <t xml:space="preserve">rerito1112@hotmail.com</t>
  </si>
  <si>
    <t xml:space="preserve">Pamela Nathaly</t>
  </si>
  <si>
    <t xml:space="preserve">guallopamela@gmail.com</t>
  </si>
  <si>
    <t xml:space="preserve">Melissa</t>
  </si>
  <si>
    <t xml:space="preserve">munozmeli345@gmail.com</t>
  </si>
  <si>
    <t xml:space="preserve">lo va a pensar antes de tomar una decision (volver a llamar)</t>
  </si>
  <si>
    <t xml:space="preserve">Josh Echeverria</t>
  </si>
  <si>
    <t xml:space="preserve">joshecheverria81@hotmail.com</t>
  </si>
  <si>
    <t xml:space="preserve">se le envio informacion al correo electronico ya que no posee numero de tlf</t>
  </si>
  <si>
    <t xml:space="preserve">MaJo Mero M</t>
  </si>
  <si>
    <t xml:space="preserve">majo_mero7@hotmail.com</t>
  </si>
  <si>
    <t xml:space="preserve">Geanella García Ulloa</t>
  </si>
  <si>
    <t xml:space="preserve">yane_lokit@hotmail.com</t>
  </si>
  <si>
    <t xml:space="preserve">Licha Liberio</t>
  </si>
  <si>
    <t xml:space="preserve">lizbethliberio@gmail.com</t>
  </si>
  <si>
    <t xml:space="preserve">Jesús Samuel Yanez Pita</t>
  </si>
  <si>
    <t xml:space="preserve">darimusic@hotmail.es</t>
  </si>
  <si>
    <t xml:space="preserve">se le envio informacion al correo electronico volver a llamar</t>
  </si>
  <si>
    <t xml:space="preserve">Carolina Cobos</t>
  </si>
  <si>
    <t xml:space="preserve">ksandra.carolina@gmail.com</t>
  </si>
  <si>
    <t xml:space="preserve">Stefania Herrera</t>
  </si>
  <si>
    <t xml:space="preserve">estefi780@hotmail.com</t>
  </si>
  <si>
    <t xml:space="preserve">gabriel-lino1973@hotmail.com</t>
  </si>
  <si>
    <t xml:space="preserve">Maria Vanessa Porras Castillo</t>
  </si>
  <si>
    <t xml:space="preserve">mporras319@gmail.com</t>
  </si>
  <si>
    <t xml:space="preserve">Rocío Cedeño</t>
  </si>
  <si>
    <t xml:space="preserve">chiocedeno@gmail.com</t>
  </si>
  <si>
    <t xml:space="preserve">Ana Oramas De Triviño</t>
  </si>
  <si>
    <t xml:space="preserve">anioramas_29@hotmail.com</t>
  </si>
  <si>
    <t xml:space="preserve">Yumi Baque</t>
  </si>
  <si>
    <t xml:space="preserve">geomybaque06@gmail.com</t>
  </si>
  <si>
    <t xml:space="preserve">Leónidas Farinango</t>
  </si>
  <si>
    <t xml:space="preserve">lexroker@hotmail.com</t>
  </si>
  <si>
    <t xml:space="preserve">Gustavo CL</t>
  </si>
  <si>
    <t xml:space="preserve">gustavocarrio22@hotmail.com</t>
  </si>
  <si>
    <t xml:space="preserve">isabella</t>
  </si>
  <si>
    <t xml:space="preserve">isabel31de@hotmail.com</t>
  </si>
  <si>
    <t xml:space="preserve">Se envía información al correo, estaba en el trabajo </t>
  </si>
  <si>
    <t xml:space="preserve">Lilibeth Alexandra Moreno Quintero</t>
  </si>
  <si>
    <t xml:space="preserve">lilibethmoreno79@gmail.com</t>
  </si>
  <si>
    <t xml:space="preserve">Paula Nuñez</t>
  </si>
  <si>
    <t xml:space="preserve">paulan220@hotmail.com</t>
  </si>
  <si>
    <t xml:space="preserve">Byron Camejo</t>
  </si>
  <si>
    <t xml:space="preserve">camejobyron1995@hotmail.com</t>
  </si>
  <si>
    <t xml:space="preserve">Elian Josue</t>
  </si>
  <si>
    <t xml:space="preserve">elianjosue55@gmail.com</t>
  </si>
  <si>
    <t xml:space="preserve">Angel Solorzano</t>
  </si>
  <si>
    <t xml:space="preserve">alexander.valencia21051998@gmail.com</t>
  </si>
  <si>
    <t xml:space="preserve">John Suárez</t>
  </si>
  <si>
    <t xml:space="preserve">johnsuarez2323@gmail.com</t>
  </si>
  <si>
    <t xml:space="preserve">Kevin Poetico</t>
  </si>
  <si>
    <t xml:space="preserve">kevin.elpoeta1945@gmail.com</t>
  </si>
  <si>
    <t xml:space="preserve">Mariuxi Gonzabay de Soriano</t>
  </si>
  <si>
    <t xml:space="preserve">mariuxigonz3@hotmail.com</t>
  </si>
  <si>
    <t xml:space="preserve">Steffanie Alejandra Mizhquiri</t>
  </si>
  <si>
    <t xml:space="preserve">steffanie_tefy17@hotmail.com</t>
  </si>
  <si>
    <t xml:space="preserve">CHRISTOPHER ANDRES PANESO</t>
  </si>
  <si>
    <t xml:space="preserve">chris16panezo@gmail.com</t>
  </si>
  <si>
    <t xml:space="preserve">Abelardo Sumba Tigre</t>
  </si>
  <si>
    <t xml:space="preserve">abelardosumba86@gmail.com</t>
  </si>
  <si>
    <t xml:space="preserve">se asesora-queda en comunicarse</t>
  </si>
  <si>
    <t xml:space="preserve">Clari Quezada</t>
  </si>
  <si>
    <t xml:space="preserve">mathi_san1801@outlook.com</t>
  </si>
  <si>
    <t xml:space="preserve">Chinin Cedillo</t>
  </si>
  <si>
    <t xml:space="preserve">luis05cedillo@gmail.com</t>
  </si>
  <si>
    <t xml:space="preserve">Norma Cecilia Guallpa</t>
  </si>
  <si>
    <t xml:space="preserve">cecing85@hotmail.com</t>
  </si>
  <si>
    <t xml:space="preserve">Sandra Rivas</t>
  </si>
  <si>
    <t xml:space="preserve">smabel_2009@hotmail.com</t>
  </si>
  <si>
    <t xml:space="preserve">Juancarlos Jaigua Saquinga</t>
  </si>
  <si>
    <t xml:space="preserve">jcjaigua@hotmail.com</t>
  </si>
  <si>
    <t xml:space="preserve">Cesar Ponce</t>
  </si>
  <si>
    <t xml:space="preserve">cesarev.9818@gmail.com</t>
  </si>
  <si>
    <t xml:space="preserve">Edissn Ville</t>
  </si>
  <si>
    <t xml:space="preserve">arielitonapa@hotmail.com</t>
  </si>
  <si>
    <t xml:space="preserve">Danny Az</t>
  </si>
  <si>
    <t xml:space="preserve">dannyforever19az@gmail.com</t>
  </si>
  <si>
    <t xml:space="preserve">Luis Fernando</t>
  </si>
  <si>
    <t xml:space="preserve">luisfernandomorales335@gmail.com</t>
  </si>
  <si>
    <t xml:space="preserve">Anita Martinez</t>
  </si>
  <si>
    <t xml:space="preserve">anitamartinez18@icloud.com</t>
  </si>
  <si>
    <t xml:space="preserve">Freddy H Chauca N</t>
  </si>
  <si>
    <t xml:space="preserve">freddyseins@gmail.com</t>
  </si>
  <si>
    <t xml:space="preserve">Wilson Reyes</t>
  </si>
  <si>
    <t xml:space="preserve">wilsonrodrigoreyes@yahoo.es</t>
  </si>
  <si>
    <t xml:space="preserve">por el momento no está interesado </t>
  </si>
  <si>
    <t xml:space="preserve">Javier Endara Jijón</t>
  </si>
  <si>
    <t xml:space="preserve">javierendara8577@gmail.com</t>
  </si>
  <si>
    <t xml:space="preserve">Veronica Rosero</t>
  </si>
  <si>
    <t xml:space="preserve">Vroseroczs5@gmail.com</t>
  </si>
  <si>
    <t xml:space="preserve">Indica que desea aplazar ya que tiene una bebe recien nacida      </t>
  </si>
  <si>
    <t xml:space="preserve">Ivan Pinargote Zambrano</t>
  </si>
  <si>
    <t xml:space="preserve">16ivanfernando16@gmail.com</t>
  </si>
  <si>
    <t xml:space="preserve">Xavier Franco</t>
  </si>
  <si>
    <t xml:space="preserve">xavierfranco1997@hotmail.com</t>
  </si>
  <si>
    <t xml:space="preserve">José Luis Basurto Párraga</t>
  </si>
  <si>
    <t xml:space="preserve">bpluisjose@hotmail.com</t>
  </si>
  <si>
    <t xml:space="preserve">Jennifer Dume De Arreaga</t>
  </si>
  <si>
    <t xml:space="preserve">jennidume@gmail.com</t>
  </si>
  <si>
    <t xml:space="preserve">Belen Lisbeth Rodriguez Paredes</t>
  </si>
  <si>
    <t xml:space="preserve">liss-bele22@hotmail.com</t>
  </si>
  <si>
    <t xml:space="preserve">Angelito Loor</t>
  </si>
  <si>
    <t xml:space="preserve">angelitoloor43@gmail.com</t>
  </si>
  <si>
    <t xml:space="preserve">Se brinda asesoria, se agenda nueva llamada para mirar si desea iniciar proceso </t>
  </si>
  <si>
    <t xml:space="preserve">Carolina Bajaña</t>
  </si>
  <si>
    <t xml:space="preserve">carolinabajana30@gmail.com</t>
  </si>
  <si>
    <t xml:space="preserve">se contacta, se envía email con la información respectiva </t>
  </si>
  <si>
    <t xml:space="preserve">Yuliana Herrera</t>
  </si>
  <si>
    <t xml:space="preserve">yulibethfuego@hotmail.com</t>
  </si>
  <si>
    <t xml:space="preserve">Maria Bailon Delgado</t>
  </si>
  <si>
    <t xml:space="preserve">mari-angel7@hotmail.es</t>
  </si>
  <si>
    <t xml:space="preserve">Fabián Raimundo</t>
  </si>
  <si>
    <t xml:space="preserve">victoraimundo_19991@hotmail.com</t>
  </si>
  <si>
    <t xml:space="preserve">Carlos Rumi</t>
  </si>
  <si>
    <t xml:space="preserve">redcarlosrumired@outlook.com</t>
  </si>
  <si>
    <t xml:space="preserve">Jost-Arie Torres Ochoa</t>
  </si>
  <si>
    <t xml:space="preserve">yunerkys_17@hotmail.com</t>
  </si>
  <si>
    <t xml:space="preserve">Dennisse Guerrero</t>
  </si>
  <si>
    <t xml:space="preserve">lisbeth.guerrero92@hotmail.com</t>
  </si>
  <si>
    <t xml:space="preserve">Gloria Bastidas</t>
  </si>
  <si>
    <t xml:space="preserve">dayanabastidasrap@hotmail.com</t>
  </si>
  <si>
    <t xml:space="preserve">Jey Gherardi</t>
  </si>
  <si>
    <t xml:space="preserve">jenniffergherardig@hotmail.com</t>
  </si>
  <si>
    <t xml:space="preserve">Se asesora, interesada en el convenio del banco pichincha, se brinda número de la universidad </t>
  </si>
  <si>
    <t xml:space="preserve">Xime Orden</t>
  </si>
  <si>
    <t xml:space="preserve">ximordenrei@hotmail.com</t>
  </si>
  <si>
    <t xml:space="preserve">Se asesora y se agenda nueva llamada para estar en seguimiento </t>
  </si>
  <si>
    <t xml:space="preserve">Anthony E Baque</t>
  </si>
  <si>
    <t xml:space="preserve">anthonypiloco@hotmail.com</t>
  </si>
  <si>
    <t xml:space="preserve">Gian Franco Rendón</t>
  </si>
  <si>
    <t xml:space="preserve">francorendon1@hotmail.com</t>
  </si>
  <si>
    <t xml:space="preserve">Se envía información al correo electrónico </t>
  </si>
  <si>
    <t xml:space="preserve">Ignacio</t>
  </si>
  <si>
    <t xml:space="preserve">ignacio.soledispa86@gmail.com</t>
  </si>
  <si>
    <t xml:space="preserve">DC Angel Contreras</t>
  </si>
  <si>
    <t xml:space="preserve">danielcontrerasluna@hotmail.es</t>
  </si>
  <si>
    <t xml:space="preserve">Patricia Llerena</t>
  </si>
  <si>
    <t xml:space="preserve">p-llerena@hotmail.com</t>
  </si>
  <si>
    <t xml:space="preserve">Geroncio Ignacio Montesdeoca Cedeño</t>
  </si>
  <si>
    <t xml:space="preserve">jinete.cervantino@gmail.com</t>
  </si>
  <si>
    <t xml:space="preserve">Augusto Salvador Arias</t>
  </si>
  <si>
    <t xml:space="preserve">robinsalvador@hotmail.com</t>
  </si>
  <si>
    <t xml:space="preserve">Marilin Moreira</t>
  </si>
  <si>
    <t xml:space="preserve">katemoreira1825@hotmail.com</t>
  </si>
  <si>
    <t xml:space="preserve">Pinto Santos Cesar</t>
  </si>
  <si>
    <t xml:space="preserve">pintosantosjuliocesar984@gmail.com</t>
  </si>
  <si>
    <t xml:space="preserve">Peter Mala</t>
  </si>
  <si>
    <t xml:space="preserve">malacoello9@gmail.com</t>
  </si>
  <si>
    <t xml:space="preserve">Hector Loza</t>
  </si>
  <si>
    <t xml:space="preserve">operaciones_ecuafuel@hotmail.com</t>
  </si>
  <si>
    <t xml:space="preserve">Edgar Cedeño Avila</t>
  </si>
  <si>
    <t xml:space="preserve">eu_cedeno@hotmail.com</t>
  </si>
  <si>
    <t xml:space="preserve">Joselyne Aldaz</t>
  </si>
  <si>
    <t xml:space="preserve">eloyda.mercedes@hotmail.com</t>
  </si>
  <si>
    <t xml:space="preserve">Bethsy Valverde</t>
  </si>
  <si>
    <t xml:space="preserve">vivithsy_92@hotmail.com</t>
  </si>
  <si>
    <t xml:space="preserve">Manuel Fabián Borja Pérez</t>
  </si>
  <si>
    <t xml:space="preserve">manuelfaborja@gmail.com</t>
  </si>
  <si>
    <t xml:space="preserve">Angie Córdova</t>
  </si>
  <si>
    <t xml:space="preserve">abigailcordova20@hotmail.com</t>
  </si>
  <si>
    <t xml:space="preserve">diego vergara</t>
  </si>
  <si>
    <t xml:space="preserve">dieanver@hotmail.com</t>
  </si>
  <si>
    <t xml:space="preserve">Raquel Santacruz</t>
  </si>
  <si>
    <t xml:space="preserve">saritarachel@hotmail.com</t>
  </si>
  <si>
    <t xml:space="preserve">Dayanna Cevallos Mera</t>
  </si>
  <si>
    <t xml:space="preserve">dayannacevallos@hotmail.com</t>
  </si>
  <si>
    <t xml:space="preserve">Yomaira Gardenia Espinoza Cajamarca</t>
  </si>
  <si>
    <t xml:space="preserve">yomita1227@hotmail.com</t>
  </si>
  <si>
    <t xml:space="preserve">Lisseth Liss</t>
  </si>
  <si>
    <t xml:space="preserve">Joscelynelisseth@gmail.com</t>
  </si>
  <si>
    <t xml:space="preserve">Se asesora, se acercará directamente  a la universidad </t>
  </si>
  <si>
    <t xml:space="preserve">Kevin Gonzabay Bsc</t>
  </si>
  <si>
    <t xml:space="preserve">kevin-jgo@hotmail.com</t>
  </si>
  <si>
    <t xml:space="preserve">Karla María</t>
  </si>
  <si>
    <t xml:space="preserve">karla_23_06_96@hotmail.com</t>
  </si>
  <si>
    <t xml:space="preserve">Andreita Espinoza</t>
  </si>
  <si>
    <t xml:space="preserve">michikita.1517@gmail.com</t>
  </si>
  <si>
    <t xml:space="preserve">Miryan Verónica Rivera Guerra</t>
  </si>
  <si>
    <t xml:space="preserve">miryamvero@hotmail.com</t>
  </si>
  <si>
    <t xml:space="preserve">Melany Basantes</t>
  </si>
  <si>
    <t xml:space="preserve">melanybasantes7@gmail.com</t>
  </si>
  <si>
    <t xml:space="preserve">Vane Cruz</t>
  </si>
  <si>
    <t xml:space="preserve">vanmo_jc@hotmail.com</t>
  </si>
  <si>
    <t xml:space="preserve">Abby Bautista</t>
  </si>
  <si>
    <t xml:space="preserve">bautista20bel@hotmail.com</t>
  </si>
  <si>
    <t xml:space="preserve">Lizeth Sanchez</t>
  </si>
  <si>
    <t xml:space="preserve">ds7666735@gmail.com</t>
  </si>
  <si>
    <t xml:space="preserve">SE asesora y se realiza preinscripción </t>
  </si>
  <si>
    <t xml:space="preserve">Normita Castillo</t>
  </si>
  <si>
    <t xml:space="preserve">normita-castillo@hotmail.es</t>
  </si>
  <si>
    <t xml:space="preserve">yorlendi yepez</t>
  </si>
  <si>
    <t xml:space="preserve">chinithaavalit@gmail.com</t>
  </si>
  <si>
    <t xml:space="preserve">Lady Nicole Villegas Barros</t>
  </si>
  <si>
    <t xml:space="preserve">villegaslady09@gmail.com</t>
  </si>
  <si>
    <t xml:space="preserve">Saray Armijos</t>
  </si>
  <si>
    <t xml:space="preserve">valeria_saray2000@outlook.com</t>
  </si>
  <si>
    <t xml:space="preserve">Marcelo Mendoza Mendoza</t>
  </si>
  <si>
    <t xml:space="preserve">Jeansolmadeini@gmail.com</t>
  </si>
  <si>
    <t xml:space="preserve">No habia numero, se envia correo </t>
  </si>
  <si>
    <t xml:space="preserve">Johani Delgado</t>
  </si>
  <si>
    <t xml:space="preserve">joha-bonita@hotmail.com</t>
  </si>
  <si>
    <t xml:space="preserve">Indica que vive muy lejos de la universidad para tomar la carrera </t>
  </si>
  <si>
    <t xml:space="preserve">Anggie Calderon</t>
  </si>
  <si>
    <t xml:space="preserve">anggie.calderon13@gmail.com</t>
  </si>
  <si>
    <t xml:space="preserve">Gabriel Martinez Mejia</t>
  </si>
  <si>
    <t xml:space="preserve">edwingabrielmartinez@gmail.com</t>
  </si>
  <si>
    <t xml:space="preserve">Gladys Xime Quimbita</t>
  </si>
  <si>
    <t xml:space="preserve">gxime_@hotmail.com</t>
  </si>
  <si>
    <t xml:space="preserve">Jessi Torres</t>
  </si>
  <si>
    <t xml:space="preserve">jesstorres415@yahoo.com</t>
  </si>
  <si>
    <t xml:space="preserve">Bolivar Vera</t>
  </si>
  <si>
    <t xml:space="preserve">vera2alfonso@yahoo.es</t>
  </si>
  <si>
    <t xml:space="preserve">Andrea Pardo Montero</t>
  </si>
  <si>
    <t xml:space="preserve">andreina282015@hotmail.com</t>
  </si>
  <si>
    <t xml:space="preserve">Tatiana Estefania</t>
  </si>
  <si>
    <t xml:space="preserve">tatita82842011@hotmail com</t>
  </si>
  <si>
    <t xml:space="preserve">Ma Eugenia Jumbo</t>
  </si>
  <si>
    <t xml:space="preserve">miariaejumbo@gmail.com</t>
  </si>
  <si>
    <t xml:space="preserve">Pamela Arevalo Bustamante</t>
  </si>
  <si>
    <t xml:space="preserve">pearevalob@gmail.com</t>
  </si>
  <si>
    <t xml:space="preserve">China Bella Lema Charito</t>
  </si>
  <si>
    <t xml:space="preserve">nenitaconsentidaruddy@hotmail.com</t>
  </si>
  <si>
    <t xml:space="preserve">mensaje a ntercero volver a llamar</t>
  </si>
  <si>
    <t xml:space="preserve">Patty Yan Jr.</t>
  </si>
  <si>
    <t xml:space="preserve">newpattyrea@hotmail.com</t>
  </si>
  <si>
    <t xml:space="preserve">Angela A. Jarrin Rodriguez</t>
  </si>
  <si>
    <t xml:space="preserve">anarjarr92@gmail.com</t>
  </si>
  <si>
    <t xml:space="preserve">Jessenia Pinargote</t>
  </si>
  <si>
    <t xml:space="preserve">jessenia_pinargote@outlook.com</t>
  </si>
  <si>
    <t xml:space="preserve">Jesús Yanez</t>
  </si>
  <si>
    <t xml:space="preserve">no contesta buzon de voz </t>
  </si>
  <si>
    <t xml:space="preserve">Mayito Valeriano</t>
  </si>
  <si>
    <t xml:space="preserve">mayito_10vch@outlook.com</t>
  </si>
  <si>
    <t xml:space="preserve">se le brindo la informacion por llamada visitara la uteg</t>
  </si>
  <si>
    <t xml:space="preserve">Genesys Peña</t>
  </si>
  <si>
    <t xml:space="preserve">gespena@hotmail.com</t>
  </si>
  <si>
    <t xml:space="preserve">iba  a dar clase, se agenda nueva llamada </t>
  </si>
  <si>
    <t xml:space="preserve">Jessy Aviles</t>
  </si>
  <si>
    <t xml:space="preserve">jessyalexa_84@hotmail.com</t>
  </si>
  <si>
    <t xml:space="preserve">Lisbeth uguña</t>
  </si>
  <si>
    <t xml:space="preserve">lisbeth_uguna@hotmail.com</t>
  </si>
  <si>
    <t xml:space="preserve">Juan Carlos Carrera Cruz</t>
  </si>
  <si>
    <t xml:space="preserve">jc_carrera81@hotmail.com</t>
  </si>
  <si>
    <t xml:space="preserve">se le brindo la informacion visitara la uteg</t>
  </si>
  <si>
    <t xml:space="preserve">Joan Denisse Abadie Aguilera</t>
  </si>
  <si>
    <t xml:space="preserve">joan.abadie@hotmail.com</t>
  </si>
  <si>
    <t xml:space="preserve">Andres Cedeño Alvarado</t>
  </si>
  <si>
    <t xml:space="preserve">andres_dogor1993@hotmail.com</t>
  </si>
  <si>
    <t xml:space="preserve">Yannina Uruchima</t>
  </si>
  <si>
    <t xml:space="preserve">yannina28@hotmail.com</t>
  </si>
  <si>
    <t xml:space="preserve">se le envia informacion al correo electronico volver a llamar</t>
  </si>
  <si>
    <t xml:space="preserve">Kary Barclay</t>
  </si>
  <si>
    <t xml:space="preserve">karina1torres@hotmail.com</t>
  </si>
  <si>
    <t xml:space="preserve">Ligia Macias</t>
  </si>
  <si>
    <t xml:space="preserve">limicristmylife@hotmail.com</t>
  </si>
  <si>
    <t xml:space="preserve">Marthy De Beltran</t>
  </si>
  <si>
    <t xml:space="preserve">magdalena_309@hotmail.com</t>
  </si>
  <si>
    <t xml:space="preserve">Jdverito JD</t>
  </si>
  <si>
    <t xml:space="preserve">veromota202@gmail.com</t>
  </si>
  <si>
    <t xml:space="preserve">Silvia Pérez Gil</t>
  </si>
  <si>
    <t xml:space="preserve">silviaperezgil@hotmail.com</t>
  </si>
  <si>
    <t xml:space="preserve">Andrea Rivera</t>
  </si>
  <si>
    <t xml:space="preserve">riverarojas1987@hotmail.com</t>
  </si>
  <si>
    <t xml:space="preserve">Ga Elyzabeth Azu</t>
  </si>
  <si>
    <t xml:space="preserve">azucenaguaman@hotmail.com</t>
  </si>
  <si>
    <t xml:space="preserve">Angelita Toala</t>
  </si>
  <si>
    <t xml:space="preserve">angelitalamilla@hotmail.com</t>
  </si>
  <si>
    <t xml:space="preserve">Shirley De La Torre</t>
  </si>
  <si>
    <t xml:space="preserve">sfarias@armada.mil.ec</t>
  </si>
  <si>
    <t xml:space="preserve">Xian Andrés</t>
  </si>
  <si>
    <t xml:space="preserve">barceandres95@hotmail.com</t>
  </si>
  <si>
    <t xml:space="preserve">Beiker Parrales</t>
  </si>
  <si>
    <t xml:space="preserve">beikerp_10@hotmail.com</t>
  </si>
  <si>
    <t xml:space="preserve">Willington Bolivar Fueltala Cordova</t>
  </si>
  <si>
    <t xml:space="preserve">w.illy43@hotmail.com</t>
  </si>
  <si>
    <t xml:space="preserve">se le brindo informacion al correo electronico volver a llamar</t>
  </si>
  <si>
    <t xml:space="preserve">Diana De Rojas</t>
  </si>
  <si>
    <t xml:space="preserve">emydylove@msn.com</t>
  </si>
  <si>
    <t xml:space="preserve">Tania Marianela Cruz Grandes</t>
  </si>
  <si>
    <t xml:space="preserve">marianelacruz1991@gmail.com</t>
  </si>
  <si>
    <t xml:space="preserve">Raul Rosero</t>
  </si>
  <si>
    <t xml:space="preserve">tec.rrosero1990@hotmail.com</t>
  </si>
  <si>
    <t xml:space="preserve">Gina Cedeño</t>
  </si>
  <si>
    <t xml:space="preserve">ginamagda@hotmail.com</t>
  </si>
  <si>
    <t xml:space="preserve">Jamber Alexander Pereira Vargas</t>
  </si>
  <si>
    <t xml:space="preserve">jamberpereira83@gmail.com</t>
  </si>
  <si>
    <t xml:space="preserve">Genesis Chavez Cuestas</t>
  </si>
  <si>
    <t xml:space="preserve">gnchavezcuesta@hotmail.com</t>
  </si>
  <si>
    <t xml:space="preserve">Steven Mejia</t>
  </si>
  <si>
    <t xml:space="preserve">stevenmepo_27@hotmail.com</t>
  </si>
  <si>
    <t xml:space="preserve">NixOn Aguilar de Villacres</t>
  </si>
  <si>
    <t xml:space="preserve">nixvicent@hotmail.com</t>
  </si>
  <si>
    <t xml:space="preserve">volver a llamar se encuentra conduciendo</t>
  </si>
  <si>
    <t xml:space="preserve">Lisbeth Velez</t>
  </si>
  <si>
    <t xml:space="preserve">velez_lisbeth@hotmail.com</t>
  </si>
  <si>
    <t xml:space="preserve">no contesta </t>
  </si>
  <si>
    <t xml:space="preserve">volver a llamar no me puede oir</t>
  </si>
  <si>
    <t xml:space="preserve">Lourdes Reyes</t>
  </si>
  <si>
    <t xml:space="preserve">lourdes_2819@hotmail.com</t>
  </si>
  <si>
    <t xml:space="preserve">Maria Isabel Vera Alcívar</t>
  </si>
  <si>
    <t xml:space="preserve">marisa_chonerita_20@hotmail.com</t>
  </si>
  <si>
    <t xml:space="preserve">Ingrid Vera</t>
  </si>
  <si>
    <t xml:space="preserve">ingridvera83@gmail.com</t>
  </si>
  <si>
    <t xml:space="preserve">solicito informacion </t>
  </si>
  <si>
    <t xml:space="preserve">Jhoanna Garcia</t>
  </si>
  <si>
    <t xml:space="preserve">jhoannag01@gmail.com</t>
  </si>
  <si>
    <t xml:space="preserve">se le brindo infomracion por llamada  y lo pensara antes de tomar una decision</t>
  </si>
  <si>
    <t xml:space="preserve">Stalin Sánchez Alvarado</t>
  </si>
  <si>
    <t xml:space="preserve">stasnickee_69@hotmail.com</t>
  </si>
  <si>
    <t xml:space="preserve">Martha Neira Reyes</t>
  </si>
  <si>
    <t xml:space="preserve">alenei4@hotmail.com</t>
  </si>
  <si>
    <t xml:space="preserve">Priscila Castillo Gómez</t>
  </si>
  <si>
    <t xml:space="preserve">prisci_19_62@hotmail.com</t>
  </si>
  <si>
    <t xml:space="preserve">Evelyn Sánchez</t>
  </si>
  <si>
    <t xml:space="preserve">evelyn.sanchez1904@gmail.com</t>
  </si>
  <si>
    <t xml:space="preserve">Daysi Soledispa Varas</t>
  </si>
  <si>
    <t xml:space="preserve">dsoledis@gmail.com</t>
  </si>
  <si>
    <t xml:space="preserve">Nelly Vizueta</t>
  </si>
  <si>
    <t xml:space="preserve">nelly_0905@hotmail.com</t>
  </si>
  <si>
    <t xml:space="preserve">Fer Vega Zambrano</t>
  </si>
  <si>
    <t xml:space="preserve">maferjjisa@hotmail.com</t>
  </si>
  <si>
    <t xml:space="preserve">se le brindo la informacion y lo pensara para saber que decision tomara</t>
  </si>
  <si>
    <t xml:space="preserve">mensaje a tercero volver a llamar</t>
  </si>
  <si>
    <t xml:space="preserve">Márcòs MMartînez</t>
  </si>
  <si>
    <t xml:space="preserve">viniciomoroxo_2012@hotmail.com</t>
  </si>
  <si>
    <t xml:space="preserve">Jefferson vera arce</t>
  </si>
  <si>
    <t xml:space="preserve">jefferson_vera@live.com</t>
  </si>
  <si>
    <t xml:space="preserve">Abraham Chele Bravo</t>
  </si>
  <si>
    <t xml:space="preserve">agchele19@gmail.com</t>
  </si>
  <si>
    <t xml:space="preserve">Cecibel Merino</t>
  </si>
  <si>
    <t xml:space="preserve">mariamerinocaballero@gmail.com</t>
  </si>
  <si>
    <t xml:space="preserve">Se envía información al correo, es para el esposo </t>
  </si>
  <si>
    <t xml:space="preserve">Moises Alonso Herrera Mazamba</t>
  </si>
  <si>
    <t xml:space="preserve">mahm11543@gmail.com</t>
  </si>
  <si>
    <t xml:space="preserve">Laura Lilibeth Zambrano Mera</t>
  </si>
  <si>
    <t xml:space="preserve">laura-zam1@hotmail.com</t>
  </si>
  <si>
    <t xml:space="preserve">Rosendo Valencia</t>
  </si>
  <si>
    <t xml:space="preserve">rosendo.valencia.cont2015@gmail.com</t>
  </si>
  <si>
    <t xml:space="preserve">Sofi Bena</t>
  </si>
  <si>
    <t xml:space="preserve">sofiabenavidesp@hotmail.com</t>
  </si>
  <si>
    <t xml:space="preserve">Pepito Erazo</t>
  </si>
  <si>
    <t xml:space="preserve">erazothe0078@gmail.com</t>
  </si>
  <si>
    <t xml:space="preserve">Lisseth Morejon</t>
  </si>
  <si>
    <t xml:space="preserve">sabrinaasm03@hotmail.com</t>
  </si>
  <si>
    <t xml:space="preserve">Francisco Javier Quinde Ramirez</t>
  </si>
  <si>
    <t xml:space="preserve">frankqr1999@gmail.com</t>
  </si>
  <si>
    <t xml:space="preserve">Se asesora y se comunicará por WhatsApp </t>
  </si>
  <si>
    <t xml:space="preserve">Jasmin Lisseth Guaman</t>
  </si>
  <si>
    <t xml:space="preserve">lissettegl1994@gmail.com</t>
  </si>
  <si>
    <t xml:space="preserve">cinthia Bastidas</t>
  </si>
  <si>
    <t xml:space="preserve">richargarcia1990@hotmail.com</t>
  </si>
  <si>
    <t xml:space="preserve">Gisella Hernandez</t>
  </si>
  <si>
    <t xml:space="preserve">mayra61129@hotmail.com</t>
  </si>
  <si>
    <t xml:space="preserve">Tatiana Sanchez</t>
  </si>
  <si>
    <t xml:space="preserve">tayasa_22@hotmail.com</t>
  </si>
  <si>
    <t xml:space="preserve">Emily Ramirez</t>
  </si>
  <si>
    <t xml:space="preserve">emilyandrearamirezrodriguez@gmail.com</t>
  </si>
  <si>
    <t xml:space="preserve">Indica que ya tenía toda la información por WhatsApp, esta interesada en la ingeniería pero que sea a distancia </t>
  </si>
  <si>
    <t xml:space="preserve">Tania Cruz Grandes</t>
  </si>
  <si>
    <t xml:space="preserve">Ivan Velez</t>
  </si>
  <si>
    <t xml:space="preserve">ivanvelezpalma@hotmail.com</t>
  </si>
  <si>
    <t xml:space="preserve">Mariuxi Tuquinga Cercado</t>
  </si>
  <si>
    <t xml:space="preserve">lic.mariuxi@hotmail.com</t>
  </si>
  <si>
    <t xml:space="preserve">se le brindo informacion por llamada y visitara la uteg</t>
  </si>
  <si>
    <t xml:space="preserve">jean carlos</t>
  </si>
  <si>
    <t xml:space="preserve">ruben.nayelin@hotmail.com</t>
  </si>
  <si>
    <t xml:space="preserve">Alejandro Morocho</t>
  </si>
  <si>
    <t xml:space="preserve">djalexnavarro1@gmail.com</t>
  </si>
  <si>
    <t xml:space="preserve">Rosanna Monserrate Mero Perez</t>
  </si>
  <si>
    <t xml:space="preserve">roxy1994amor@hail.com</t>
  </si>
  <si>
    <t xml:space="preserve">Lilia Marina Espinoza</t>
  </si>
  <si>
    <t xml:space="preserve">lilimariespinoza@hotmail.com</t>
  </si>
  <si>
    <t xml:space="preserve">Nadia Sofia Merizalde Naranjo</t>
  </si>
  <si>
    <t xml:space="preserve">nadiamerizalde@hotmail.com</t>
  </si>
  <si>
    <t xml:space="preserve">Se asesora, queda en comunicarse por WhatsApp </t>
  </si>
  <si>
    <t xml:space="preserve">Carolina Toscano</t>
  </si>
  <si>
    <t xml:space="preserve">kellytoscano1993@gmail.com</t>
  </si>
  <si>
    <t xml:space="preserve">Stefanic Peña Mosquera</t>
  </si>
  <si>
    <t xml:space="preserve">tefy-1990@hotmail.com</t>
  </si>
  <si>
    <t xml:space="preserve">Alex Salazar</t>
  </si>
  <si>
    <t xml:space="preserve">aisd.0850483447@gmail.com</t>
  </si>
  <si>
    <t xml:space="preserve">Flor Sanchez</t>
  </si>
  <si>
    <t xml:space="preserve">flormariasanchez2612@gmail.com</t>
  </si>
  <si>
    <t xml:space="preserve">Ramona Yolanda Delgado</t>
  </si>
  <si>
    <t xml:space="preserve">yolitadm@yahoo.com</t>
  </si>
  <si>
    <t xml:space="preserve">Anthony Galarza</t>
  </si>
  <si>
    <t xml:space="preserve">anthony.galarza@hotmail.com</t>
  </si>
  <si>
    <t xml:space="preserve">Se asesora, indica que aún está en el colegio, cuando termine se comunicará </t>
  </si>
  <si>
    <t xml:space="preserve">Maria Isbes Ulloa</t>
  </si>
  <si>
    <t xml:space="preserve">maria_merisb@hotmail.com</t>
  </si>
  <si>
    <t xml:space="preserve">Mishelita Pamela</t>
  </si>
  <si>
    <t xml:space="preserve">mishelita19961@gmail.com</t>
  </si>
  <si>
    <t xml:space="preserve">Rosibel Zhunio</t>
  </si>
  <si>
    <t xml:space="preserve">rosazhunio@hotmail.com</t>
  </si>
  <si>
    <t xml:space="preserve">Se  asesora y se contacta por WhatsApp </t>
  </si>
  <si>
    <t xml:space="preserve">Don FA Garcis</t>
  </si>
  <si>
    <t xml:space="preserve">garcisfab@gmail.com</t>
  </si>
  <si>
    <t xml:space="preserve">Stalin Castillo Tenezaca</t>
  </si>
  <si>
    <t xml:space="preserve">stalincastillo26@hotmail.com</t>
  </si>
  <si>
    <t xml:space="preserve">Se agenda nueva llamada estaba en reunión </t>
  </si>
  <si>
    <t xml:space="preserve">Jhonatan Mauricio Galeas</t>
  </si>
  <si>
    <t xml:space="preserve">mauricio2015gemsy@outlook.com</t>
  </si>
  <si>
    <t xml:space="preserve">Roberto Arboleda Guayasamín</t>
  </si>
  <si>
    <t xml:space="preserve">ingrobertomiro@hotmail.com</t>
  </si>
  <si>
    <t xml:space="preserve">Se asesora, y se realiza preinscripción, solo queda pendiente de los documentos y comprobante  </t>
  </si>
  <si>
    <t xml:space="preserve">Edwin Santiago Villa Pesántez</t>
  </si>
  <si>
    <t xml:space="preserve">esvilla_10@hotmail.com</t>
  </si>
  <si>
    <t xml:space="preserve">NO INTERESADO</t>
  </si>
  <si>
    <t xml:space="preserve">Cristian Paul Morales</t>
  </si>
  <si>
    <t xml:space="preserve">pau_criss@hotmail.com</t>
  </si>
  <si>
    <t xml:space="preserve">Se asesora y se realiza preinscripción en llamada, se envían requisitos al WhastApp </t>
  </si>
  <si>
    <t xml:space="preserve">John Mendoza</t>
  </si>
  <si>
    <t xml:space="preserve">johnalbertomendozafranco1982@hotmail.com</t>
  </si>
  <si>
    <t xml:space="preserve">Jessy Loor</t>
  </si>
  <si>
    <t xml:space="preserve">kristelljess@hotmail.com</t>
  </si>
  <si>
    <t xml:space="preserve">descartada</t>
  </si>
  <si>
    <t xml:space="preserve">Douglas Cristoval Figueroa Santillan</t>
  </si>
  <si>
    <t xml:space="preserve">douglasfigueroana@hotmail.es</t>
  </si>
  <si>
    <t xml:space="preserve">Mario Andres</t>
  </si>
  <si>
    <t xml:space="preserve">mario19902012@outlook.com</t>
  </si>
  <si>
    <t xml:space="preserve">Se asesora, indica comunicarse al Whatsapp </t>
  </si>
  <si>
    <t xml:space="preserve">Oswaldo Carpio Domínguez</t>
  </si>
  <si>
    <t xml:space="preserve">os-card23@hotmail.es</t>
  </si>
  <si>
    <t xml:space="preserve">Vanessa Tituaña</t>
  </si>
  <si>
    <t xml:space="preserve">vanessatituana13@gmail.com</t>
  </si>
  <si>
    <t xml:space="preserve">Wiliam Mh</t>
  </si>
  <si>
    <t xml:space="preserve">w.alquinga@hotmail.com</t>
  </si>
  <si>
    <t xml:space="preserve">Yelena Pico</t>
  </si>
  <si>
    <t xml:space="preserve">yelenapico97@gmail.com</t>
  </si>
  <si>
    <t xml:space="preserve">Sergio Calle</t>
  </si>
  <si>
    <t xml:space="preserve">anibalcallepa@hotmail.com</t>
  </si>
  <si>
    <t xml:space="preserve">Jorge Melecio Jimenez Maza</t>
  </si>
  <si>
    <t xml:space="preserve">jorgesmallandinista@yahoo.es</t>
  </si>
  <si>
    <t xml:space="preserve">Jose Gracia</t>
  </si>
  <si>
    <t xml:space="preserve">manuelgracia022@gmail.com</t>
  </si>
  <si>
    <t xml:space="preserve">No se encontró numero, se envia correo </t>
  </si>
  <si>
    <t xml:space="preserve">Antonio Garay Martillo</t>
  </si>
  <si>
    <t xml:space="preserve">antonio_garay11@hotmail.com</t>
  </si>
  <si>
    <t xml:space="preserve">Jose Oswaldo Chalen Freire</t>
  </si>
  <si>
    <t xml:space="preserve">josechalen77@gmail.com</t>
  </si>
  <si>
    <t xml:space="preserve">Christian Lucin</t>
  </si>
  <si>
    <t xml:space="preserve">christian.lucin.moran@gmail.com</t>
  </si>
  <si>
    <t xml:space="preserve">Juan Magallanes Vergara</t>
  </si>
  <si>
    <t xml:space="preserve">jumaver08@hotmail.com</t>
  </si>
  <si>
    <t xml:space="preserve">Andrea Macias</t>
  </si>
  <si>
    <t xml:space="preserve">ferchachiqui@hotmail.com</t>
  </si>
  <si>
    <t xml:space="preserve">EStaba ocupada, se agenda nueva llamada </t>
  </si>
  <si>
    <t xml:space="preserve">Mïlâdy Choëz</t>
  </si>
  <si>
    <t xml:space="preserve">ladychoezm@hotmail.com</t>
  </si>
  <si>
    <t xml:space="preserve">Angel Gilse</t>
  </si>
  <si>
    <t xml:space="preserve">angelgilse30@gmail.com</t>
  </si>
  <si>
    <t xml:space="preserve">Genesis Mendoza</t>
  </si>
  <si>
    <t xml:space="preserve">genesismendoza19@gmail.com</t>
  </si>
  <si>
    <t xml:space="preserve">Se envía información al correo se agenda nueva llamada </t>
  </si>
  <si>
    <t xml:space="preserve">Karen Ruiz</t>
  </si>
  <si>
    <t xml:space="preserve">krenlise@hotmail.com</t>
  </si>
  <si>
    <t xml:space="preserve">Indica asistir a la Uteg</t>
  </si>
  <si>
    <t xml:space="preserve">Anthony Demera Morales</t>
  </si>
  <si>
    <t xml:space="preserve">antyare1@hotmail.com</t>
  </si>
  <si>
    <t xml:space="preserve">Guisela Guilindro</t>
  </si>
  <si>
    <t xml:space="preserve">lilianaguilindro@hotmail.com</t>
  </si>
  <si>
    <t xml:space="preserve">Romario Mendoza</t>
  </si>
  <si>
    <t xml:space="preserve">fideledesio@live.com</t>
  </si>
  <si>
    <t xml:space="preserve">Seby Ecyc</t>
  </si>
  <si>
    <t xml:space="preserve">estelitayanes1@gmail.com</t>
  </si>
  <si>
    <t xml:space="preserve">se le brindo informacion y lo conversara con sus padres</t>
  </si>
  <si>
    <t xml:space="preserve">karolain871@hotmail.com</t>
  </si>
  <si>
    <t xml:space="preserve">Kevin Villafuerte</t>
  </si>
  <si>
    <t xml:space="preserve">klentovillafu1996@hotmail.com</t>
  </si>
  <si>
    <t xml:space="preserve">Dari Yclaribel</t>
  </si>
  <si>
    <t xml:space="preserve">darwin-199466@hotmail.com</t>
  </si>
  <si>
    <t xml:space="preserve">Sugey Carvajal Mendez</t>
  </si>
  <si>
    <t xml:space="preserve">valsur_215@hotmail.com</t>
  </si>
  <si>
    <t xml:space="preserve">Evelyn Benavides</t>
  </si>
  <si>
    <t xml:space="preserve">babysex1994@hotmail.com</t>
  </si>
  <si>
    <t xml:space="preserve">Ruben Guzhñay</t>
  </si>
  <si>
    <t xml:space="preserve">rubengg97@outlook.com</t>
  </si>
  <si>
    <t xml:space="preserve">Juan Diaz</t>
  </si>
  <si>
    <t xml:space="preserve">juanandres_delgado@hotmail.com</t>
  </si>
  <si>
    <t xml:space="preserve">Flor Morán</t>
  </si>
  <si>
    <t xml:space="preserve">flor-moran1986@hotmail.com</t>
  </si>
  <si>
    <t xml:space="preserve">Ana León Borbor</t>
  </si>
  <si>
    <t xml:space="preserve">anagab00@hotmail.com</t>
  </si>
  <si>
    <t xml:space="preserve">byroncortez</t>
  </si>
  <si>
    <t xml:space="preserve">byron10cortez@hotmail.com</t>
  </si>
  <si>
    <t xml:space="preserve">Gonzalez Villegas</t>
  </si>
  <si>
    <t xml:space="preserve">marigot-91@hotmail.com</t>
  </si>
  <si>
    <t xml:space="preserve">Mely Freire</t>
  </si>
  <si>
    <t xml:space="preserve">melmefrei@hotmail.com</t>
  </si>
  <si>
    <t xml:space="preserve">María Chalán</t>
  </si>
  <si>
    <t xml:space="preserve">cubana01_70@hotmail.com</t>
  </si>
  <si>
    <t xml:space="preserve">Caroline Segura</t>
  </si>
  <si>
    <t xml:space="preserve">carolinedesalazar@gmail.com</t>
  </si>
  <si>
    <t xml:space="preserve">Oscar Coronel</t>
  </si>
  <si>
    <t xml:space="preserve">osc-javier3411@hotmail.com</t>
  </si>
  <si>
    <t xml:space="preserve">Jim Gomez</t>
  </si>
  <si>
    <t xml:space="preserve">jenygomez_22@hotmail.com</t>
  </si>
  <si>
    <t xml:space="preserve">Michelle Viterii</t>
  </si>
  <si>
    <t xml:space="preserve">allisonmichelleviteri@hotmail.com</t>
  </si>
  <si>
    <t xml:space="preserve">Michael Maverick</t>
  </si>
  <si>
    <t xml:space="preserve">Cruelmichael9@gmail.com</t>
  </si>
  <si>
    <t xml:space="preserve">Hector Galarza</t>
  </si>
  <si>
    <t xml:space="preserve">hdgalarza@gmail.com</t>
  </si>
  <si>
    <t xml:space="preserve">Jorge Augusto Martinez</t>
  </si>
  <si>
    <t xml:space="preserve">jor_augusto29@outlook.com</t>
  </si>
  <si>
    <t xml:space="preserve">Lissette Solorzano</t>
  </si>
  <si>
    <t xml:space="preserve">lissette199818@gmail.com</t>
  </si>
  <si>
    <t xml:space="preserve">Tanny Ramon</t>
  </si>
  <si>
    <t xml:space="preserve">tany2202@hotmail.com</t>
  </si>
  <si>
    <t xml:space="preserve">Karol Mendoza</t>
  </si>
  <si>
    <t xml:space="preserve">karolmaldonado2295@gmail.com</t>
  </si>
  <si>
    <t xml:space="preserve">Vanessa</t>
  </si>
  <si>
    <t xml:space="preserve">vanechic_90@hotmail.com</t>
  </si>
  <si>
    <t xml:space="preserve">Löpêz Därwîn</t>
  </si>
  <si>
    <t xml:space="preserve">lopez15dar@gmail.com</t>
  </si>
  <si>
    <t xml:space="preserve">Fernanda Altamirano</t>
  </si>
  <si>
    <t xml:space="preserve">natanita_am@hotmail.com</t>
  </si>
  <si>
    <t xml:space="preserve">Shirley Alcivar Cardenas</t>
  </si>
  <si>
    <t xml:space="preserve">shirleymariaalcivar@gmail.com</t>
  </si>
  <si>
    <t xml:space="preserve">angeerivera00tircio@gmail.com</t>
  </si>
  <si>
    <t xml:space="preserve">Manuel Claros</t>
  </si>
  <si>
    <t xml:space="preserve">manuelclaros@outlook.com</t>
  </si>
  <si>
    <t xml:space="preserve">Gabyta Choez</t>
  </si>
  <si>
    <t xml:space="preserve">gabytachoez@hotmail.com</t>
  </si>
  <si>
    <t xml:space="preserve">Jesseniia Estefaniia</t>
  </si>
  <si>
    <t xml:space="preserve">jessy_esthefania@hotmail.com</t>
  </si>
  <si>
    <t xml:space="preserve">Número incorrecto </t>
  </si>
  <si>
    <t xml:space="preserve">Viviana Sofía Pozo pozo</t>
  </si>
  <si>
    <t xml:space="preserve">vivi-2020@hotmail.com</t>
  </si>
  <si>
    <t xml:space="preserve">Alexa Vargas Valverde</t>
  </si>
  <si>
    <t xml:space="preserve">vargasalex@hotmail.es</t>
  </si>
  <si>
    <t xml:space="preserve">Daniel Elaje Rizo</t>
  </si>
  <si>
    <t xml:space="preserve">carliitosdaniel_16@hotmail.com</t>
  </si>
  <si>
    <t xml:space="preserve">Angêlã Rïvěră</t>
  </si>
  <si>
    <t xml:space="preserve">María José Navarrete</t>
  </si>
  <si>
    <t xml:space="preserve">mariajosleones@gmail.com</t>
  </si>
  <si>
    <t xml:space="preserve">Mayra Dayana Zambrano Aviles</t>
  </si>
  <si>
    <t xml:space="preserve">dayanazambrano1996@outlook.com</t>
  </si>
  <si>
    <t xml:space="preserve">Lilibeth Bajaña</t>
  </si>
  <si>
    <t xml:space="preserve">lilibethb1111@gmail.com</t>
  </si>
  <si>
    <t xml:space="preserve">Yulissa Pincay</t>
  </si>
  <si>
    <t xml:space="preserve">ypincayp1998@gmail.com</t>
  </si>
  <si>
    <t xml:space="preserve">contesta-no habla</t>
  </si>
  <si>
    <t xml:space="preserve">Leslye Landivar</t>
  </si>
  <si>
    <t xml:space="preserve">leslyeniferlandivar@gmail.com</t>
  </si>
  <si>
    <t xml:space="preserve">Yesenia Balladares</t>
  </si>
  <si>
    <t xml:space="preserve">yesimishelle@hotmail.com</t>
  </si>
  <si>
    <t xml:space="preserve">emily vite</t>
  </si>
  <si>
    <t xml:space="preserve">claritavite@yahoo.com</t>
  </si>
  <si>
    <t xml:space="preserve">Diago Leao</t>
  </si>
  <si>
    <t xml:space="preserve">diagoleao@outlook.com</t>
  </si>
  <si>
    <t xml:space="preserve">Se asesora, indica que está  mirando varias universidades para coger el valor mas economico.  </t>
  </si>
  <si>
    <t xml:space="preserve">Jorge Luis Macias Arambulo</t>
  </si>
  <si>
    <t xml:space="preserve">jorgeluis201927@hotmail.com</t>
  </si>
  <si>
    <t xml:space="preserve">Alexandra Espinoza</t>
  </si>
  <si>
    <t xml:space="preserve">genesis_espinoza14@hotmail.es</t>
  </si>
  <si>
    <t xml:space="preserve">Se agenda nueva llamada, no se encontraba</t>
  </si>
  <si>
    <t xml:space="preserve">Julio Cesar Romero Guagchinga</t>
  </si>
  <si>
    <t xml:space="preserve">cesin19822@hotmail.com</t>
  </si>
  <si>
    <t xml:space="preserve">Celeste Lopez</t>
  </si>
  <si>
    <t xml:space="preserve">gardencafebar2017@gmail.com</t>
  </si>
  <si>
    <t xml:space="preserve">Maggy Zambrano</t>
  </si>
  <si>
    <t xml:space="preserve">magda.zambrano@hotmail.com</t>
  </si>
  <si>
    <t xml:space="preserve">Ruben Cedeño</t>
  </si>
  <si>
    <t xml:space="preserve">r.c_00@hotmail.com</t>
  </si>
  <si>
    <t xml:space="preserve">Yasmani Bsc Palma</t>
  </si>
  <si>
    <t xml:space="preserve">ypalma@chalver.com.ec</t>
  </si>
  <si>
    <t xml:space="preserve">Manuel Ivan Cartuche</t>
  </si>
  <si>
    <t xml:space="preserve">manuelitocartuche@yahoo.es</t>
  </si>
  <si>
    <t xml:space="preserve">Aaron Conza</t>
  </si>
  <si>
    <t xml:space="preserve">aaronconza56@gmail.com</t>
  </si>
  <si>
    <t xml:space="preserve">Carmen Chasiluisa</t>
  </si>
  <si>
    <t xml:space="preserve">carmenvaleria1985@hotmail.com</t>
  </si>
  <si>
    <t xml:space="preserve">Jose Luis</t>
  </si>
  <si>
    <t xml:space="preserve">jose_luispp@hotmail.com</t>
  </si>
  <si>
    <t xml:space="preserve">Nachelita Nathaly Kuonyeng</t>
  </si>
  <si>
    <t xml:space="preserve">nathagar1986@hotmail.com</t>
  </si>
  <si>
    <t xml:space="preserve">Engely Salazar</t>
  </si>
  <si>
    <t xml:space="preserve">engely_salazar@hotmail.com</t>
  </si>
  <si>
    <t xml:space="preserve">Nereida Vallejo</t>
  </si>
  <si>
    <t xml:space="preserve">nevs2103@hotmail.com</t>
  </si>
  <si>
    <t xml:space="preserve">Daniel Loor</t>
  </si>
  <si>
    <t xml:space="preserve">daniel_loor22@hotmail.com</t>
  </si>
  <si>
    <t xml:space="preserve">Miguel carabajo</t>
  </si>
  <si>
    <t xml:space="preserve">miguelangelcarabajo@hotmail.com</t>
  </si>
  <si>
    <t xml:space="preserve">No interesado por el momento </t>
  </si>
  <si>
    <t xml:space="preserve">Angie Mendoza</t>
  </si>
  <si>
    <t xml:space="preserve">angelina_loor_@hotmail.com</t>
  </si>
  <si>
    <t xml:space="preserve">cinthya Guerrero</t>
  </si>
  <si>
    <t xml:space="preserve">idania_guerrero89@hotmail.com</t>
  </si>
  <si>
    <t xml:space="preserve">Se envía información al correo, indica asistir a la uteg </t>
  </si>
  <si>
    <t xml:space="preserve">Estefani Pinta Gaviria</t>
  </si>
  <si>
    <t xml:space="preserve">estefanipinta14@gmail.com</t>
  </si>
  <si>
    <t xml:space="preserve">Angela Poncv</t>
  </si>
  <si>
    <t xml:space="preserve">angelapons26@gmail.com</t>
  </si>
  <si>
    <t xml:space="preserve">Lucia Norma Ruiz Telenchana</t>
  </si>
  <si>
    <t xml:space="preserve">normalucia0941@gmail.com</t>
  </si>
  <si>
    <t xml:space="preserve">No interesada en estudiar en guayaquil </t>
  </si>
  <si>
    <t xml:space="preserve">juleidy cerezo</t>
  </si>
  <si>
    <t xml:space="preserve">mendro2017@gmail.com</t>
  </si>
  <si>
    <t xml:space="preserve">Bladimir Gonzalo Mejía Angulo</t>
  </si>
  <si>
    <t xml:space="preserve">gonzalo-3891@hotmail.com</t>
  </si>
  <si>
    <t xml:space="preserve">NO contesta</t>
  </si>
  <si>
    <t xml:space="preserve">Gissela Pluas</t>
  </si>
  <si>
    <t xml:space="preserve">kerlysoftpluas@gmail.com</t>
  </si>
  <si>
    <t xml:space="preserve">Se brinda asesoría, se realiza preinscripcion, desea ingresar por homologacion </t>
  </si>
  <si>
    <t xml:space="preserve">Nelly Virginea Salas Ramos</t>
  </si>
  <si>
    <t xml:space="preserve">neli_patucha@hotmail.com</t>
  </si>
  <si>
    <t xml:space="preserve">Karencita Alvarado</t>
  </si>
  <si>
    <t xml:space="preserve">karenyuekeynner@gmail.com</t>
  </si>
  <si>
    <t xml:space="preserve">michelle vanessa</t>
  </si>
  <si>
    <t xml:space="preserve">michepareja19@gmail.com</t>
  </si>
  <si>
    <t xml:space="preserve">John Yagual</t>
  </si>
  <si>
    <t xml:space="preserve">maiteybebe@Outlook.com</t>
  </si>
  <si>
    <t xml:space="preserve">Luis Blandin</t>
  </si>
  <si>
    <t xml:space="preserve">nicollisbet1999@outlook.com</t>
  </si>
  <si>
    <t xml:space="preserve">Sandra Diaz</t>
  </si>
  <si>
    <t xml:space="preserve">sandrita.dc@hotmail.com</t>
  </si>
  <si>
    <t xml:space="preserve">se le envio la informacion por correo electronico ya que no posee tlf</t>
  </si>
  <si>
    <t xml:space="preserve">David Villaprado</t>
  </si>
  <si>
    <t xml:space="preserve">elpotrillo29@hotmail.es</t>
  </si>
  <si>
    <t xml:space="preserve">Se asesora, queda en verificar toda la información y en comunicarse </t>
  </si>
  <si>
    <t xml:space="preserve">karen vernaza</t>
  </si>
  <si>
    <t xml:space="preserve">karencitacibv@gmail.com</t>
  </si>
  <si>
    <t xml:space="preserve">Mayra Bravo Macias</t>
  </si>
  <si>
    <t xml:space="preserve">faustomenendezm@hotmail.com</t>
  </si>
  <si>
    <t xml:space="preserve">ZoiMar Zambrano Limongi</t>
  </si>
  <si>
    <t xml:space="preserve">zzambranolimongi@hotmail.com</t>
  </si>
  <si>
    <t xml:space="preserve">Se asesora y se agenda nueva llamada para mirar qué decisión a tomado </t>
  </si>
  <si>
    <t xml:space="preserve">Diana Montaño Fariño</t>
  </si>
  <si>
    <t xml:space="preserve">dianamf2030@hotmail.com</t>
  </si>
  <si>
    <t xml:space="preserve">Cesar Yumi</t>
  </si>
  <si>
    <t xml:space="preserve">cesarayumi@hotmail.com</t>
  </si>
  <si>
    <t xml:space="preserve">Jorge Mora Ramirez</t>
  </si>
  <si>
    <t xml:space="preserve">jorgemora560@hotmail.com</t>
  </si>
  <si>
    <t xml:space="preserve">Juan Jimenez</t>
  </si>
  <si>
    <t xml:space="preserve">juanjimenes1988@hotmail.com</t>
  </si>
  <si>
    <t xml:space="preserve">Diego Pazmiño</t>
  </si>
  <si>
    <t xml:space="preserve">mauriciodiego1990@gmail.com</t>
  </si>
  <si>
    <t xml:space="preserve">Se asesora, se realiza preinscripción y se envían requisitos al WhatsApp. </t>
  </si>
  <si>
    <t xml:space="preserve">Elias Tene</t>
  </si>
  <si>
    <t xml:space="preserve">eli.tene86@gmail.com</t>
  </si>
  <si>
    <t xml:space="preserve">Elbert Gaona Elbert Gaona</t>
  </si>
  <si>
    <t xml:space="preserve">elbertjhonne_24@hotmail.com</t>
  </si>
  <si>
    <t xml:space="preserve">Fernanda Pesantez</t>
  </si>
  <si>
    <t xml:space="preserve">fernadapesantez2706@gmail.com</t>
  </si>
  <si>
    <t xml:space="preserve">Se envía correo con información, indica responder al correo o al WhatsApp </t>
  </si>
  <si>
    <t xml:space="preserve">Jair Yumbo</t>
  </si>
  <si>
    <t xml:space="preserve">jairo16pizango@hotmail.com</t>
  </si>
  <si>
    <t xml:space="preserve">Se brinda asesoria, muestra mucho interés por la modalidad online, se agenda nueva llamada para mirar si desea iniciar proceso </t>
  </si>
  <si>
    <t xml:space="preserve">Diego Cuaspud Ortiz</t>
  </si>
  <si>
    <t xml:space="preserve">dcuaspudortiz@yahoo.es</t>
  </si>
  <si>
    <t xml:space="preserve">Daniel</t>
  </si>
  <si>
    <t xml:space="preserve">danielespinozavillamar16@gmail.com</t>
  </si>
  <si>
    <t xml:space="preserve">Danielitha Lizame JV</t>
  </si>
  <si>
    <t xml:space="preserve">danielalizame@gmail.com</t>
  </si>
  <si>
    <t xml:space="preserve">Hillary arce</t>
  </si>
  <si>
    <t xml:space="preserve">hillaryarce7@gmail.com</t>
  </si>
  <si>
    <t xml:space="preserve">interesada en medicina </t>
  </si>
  <si>
    <t xml:space="preserve">Freddy Antonio Jimenez Barzola</t>
  </si>
  <si>
    <t xml:space="preserve">freddy8695@hotmail.com</t>
  </si>
  <si>
    <t xml:space="preserve">Alexis Lucas</t>
  </si>
  <si>
    <t xml:space="preserve">armanditocari@gmail.com</t>
  </si>
  <si>
    <t xml:space="preserve">Sol Mafer</t>
  </si>
  <si>
    <t xml:space="preserve">solmafer2331@gmail.com</t>
  </si>
  <si>
    <t xml:space="preserve">Se asesora, se agenda nueva llamada para ver si desea iniciar proceso </t>
  </si>
  <si>
    <t xml:space="preserve">Dayanara Barahona</t>
  </si>
  <si>
    <t xml:space="preserve">dayanarafaty@gmail.com</t>
  </si>
  <si>
    <t xml:space="preserve">Doris Pluas</t>
  </si>
  <si>
    <t xml:space="preserve">dpluas@hotmail.com</t>
  </si>
  <si>
    <t xml:space="preserve">Veronica Kabrera</t>
  </si>
  <si>
    <t xml:space="preserve">veronica.cabrera3012@gmail.com</t>
  </si>
  <si>
    <t xml:space="preserve">se le brinda informacion por llamada y visitara la uteg</t>
  </si>
  <si>
    <t xml:space="preserve">Angie Jrykio Taylor</t>
  </si>
  <si>
    <t xml:space="preserve">angelicataylor_86@hotmail.es</t>
  </si>
  <si>
    <t xml:space="preserve">Nathali Donosog</t>
  </si>
  <si>
    <t xml:space="preserve">nathali.donoso@gmail.com</t>
  </si>
  <si>
    <t xml:space="preserve">se le envia informacion por correo electronico y volver a llamar</t>
  </si>
  <si>
    <t xml:space="preserve">Amanda Aguilar</t>
  </si>
  <si>
    <t xml:space="preserve">amagui91@hotmail.com</t>
  </si>
  <si>
    <t xml:space="preserve">Nancy Coello</t>
  </si>
  <si>
    <t xml:space="preserve">hunagema29@hotmail.com</t>
  </si>
  <si>
    <t xml:space="preserve">se le brindo informacion y solo esta interesada en maestrias referente al area de la salud</t>
  </si>
  <si>
    <t xml:space="preserve">se le brindo informacion por llamada y esta interesada en maestrias de area de la salud </t>
  </si>
  <si>
    <t xml:space="preserve">Carlos Raul Yuquilema Quinche</t>
  </si>
  <si>
    <t xml:space="preserve">rc1989yq@gmail.com</t>
  </si>
  <si>
    <t xml:space="preserve">se le brindo informacion y visitara la uteg </t>
  </si>
  <si>
    <t xml:space="preserve">Ed Yanez</t>
  </si>
  <si>
    <t xml:space="preserve">edgaryanezp15@hotmail.com</t>
  </si>
  <si>
    <t xml:space="preserve">Gabicita Fernanda Garcia</t>
  </si>
  <si>
    <t xml:space="preserve">gabygarcia89@hotmail.com</t>
  </si>
  <si>
    <t xml:space="preserve">Cecilia G de Castro</t>
  </si>
  <si>
    <t xml:space="preserve">ceciliagaona@hotmail.com</t>
  </si>
  <si>
    <t xml:space="preserve">solicito informacion al correo electronico</t>
  </si>
  <si>
    <t xml:space="preserve">volver a llamar se encuentra  ocupada en la playa</t>
  </si>
  <si>
    <t xml:space="preserve">Heidy Priscila Pincay Ramirez</t>
  </si>
  <si>
    <t xml:space="preserve">Flaca27heidy@gmail.com</t>
  </si>
  <si>
    <t xml:space="preserve">Geomarsy Lilibeth Franco Suarez</t>
  </si>
  <si>
    <t xml:space="preserve">geomarsyf@hotmail.com</t>
  </si>
  <si>
    <t xml:space="preserve">se le brindo informacion por llamada visitara la uteg</t>
  </si>
  <si>
    <t xml:space="preserve">Bryan Vaca</t>
  </si>
  <si>
    <t xml:space="preserve">bryanvacab@live.com</t>
  </si>
  <si>
    <t xml:space="preserve">Belen Pardo Aguirre</t>
  </si>
  <si>
    <t xml:space="preserve">be.pardo@hotmail.es</t>
  </si>
  <si>
    <t xml:space="preserve">solicito  informacion al correo electronico</t>
  </si>
  <si>
    <t xml:space="preserve">volver a llamar se encuentra manejando</t>
  </si>
  <si>
    <t xml:space="preserve">Karina Granda Jiménez</t>
  </si>
  <si>
    <t xml:space="preserve">karinita_18_isa@hotmail.es</t>
  </si>
  <si>
    <t xml:space="preserve">Katherin Solórzano</t>
  </si>
  <si>
    <t xml:space="preserve">katherinev_solorzanot1989@hotmail.com</t>
  </si>
  <si>
    <t xml:space="preserve">Nenita Aries</t>
  </si>
  <si>
    <t xml:space="preserve">nenaec_1992@hotmail.com</t>
  </si>
  <si>
    <t xml:space="preserve">Rosii Macias</t>
  </si>
  <si>
    <t xml:space="preserve">rossimacias@hotmail.com</t>
  </si>
  <si>
    <t xml:space="preserve">Johanna Campos</t>
  </si>
  <si>
    <t xml:space="preserve">johannavcs@hotmail.com</t>
  </si>
  <si>
    <t xml:space="preserve">Wendy Iglesias</t>
  </si>
  <si>
    <t xml:space="preserve">wendy_iv24@hotmail.com</t>
  </si>
  <si>
    <t xml:space="preserve">Fernando Rea</t>
  </si>
  <si>
    <t xml:space="preserve">percharea@hotmail.com</t>
  </si>
  <si>
    <t xml:space="preserve">Bayron Fabian Suarez Villon</t>
  </si>
  <si>
    <t xml:space="preserve">faby3078@gmail.com</t>
  </si>
  <si>
    <t xml:space="preserve">Veronica Paredes</t>
  </si>
  <si>
    <t xml:space="preserve">verp007@hotmail.com</t>
  </si>
  <si>
    <t xml:space="preserve">Selena Muñoz</t>
  </si>
  <si>
    <t xml:space="preserve">munozkarem95@gmail.com</t>
  </si>
  <si>
    <t xml:space="preserve">Cindy Albán Vera</t>
  </si>
  <si>
    <t xml:space="preserve">cindyalban21012013@hotmail.com</t>
  </si>
  <si>
    <t xml:space="preserve">Toninho de Chone</t>
  </si>
  <si>
    <t xml:space="preserve">toniosolorzano2008@hotmail.es</t>
  </si>
  <si>
    <t xml:space="preserve">Kerly Fiore Zambrano</t>
  </si>
  <si>
    <t xml:space="preserve">zambranofiore@hotmail.com</t>
  </si>
  <si>
    <t xml:space="preserve">Dianis Naranjo</t>
  </si>
  <si>
    <t xml:space="preserve">flaquita_amor@outlook.es</t>
  </si>
  <si>
    <t xml:space="preserve">solicito  informacion al whatsapp</t>
  </si>
  <si>
    <t xml:space="preserve">Andrea Leon</t>
  </si>
  <si>
    <t xml:space="preserve">leonandrea18@yahoo.es</t>
  </si>
  <si>
    <t xml:space="preserve">Tatiana Orellana</t>
  </si>
  <si>
    <t xml:space="preserve">ayleska_@hotmail.com</t>
  </si>
  <si>
    <t xml:space="preserve">Katherine Esther Lopez Oseguera</t>
  </si>
  <si>
    <t xml:space="preserve">Kelolilibb@gmail.com</t>
  </si>
  <si>
    <t xml:space="preserve">Zuska Talia Cristina Paez Davila</t>
  </si>
  <si>
    <t xml:space="preserve">zuskatalia@hotmail.com</t>
  </si>
  <si>
    <t xml:space="preserve">Maikol Castellanos</t>
  </si>
  <si>
    <t xml:space="preserve">pezomaikol@gmail.com</t>
  </si>
  <si>
    <t xml:space="preserve">Juan Fuentes</t>
  </si>
  <si>
    <t xml:space="preserve">Juanfuenteslauzo@hotmail.com</t>
  </si>
  <si>
    <t xml:space="preserve">Reascos Carlita</t>
  </si>
  <si>
    <t xml:space="preserve">Kmerchan22@hotmail.com</t>
  </si>
  <si>
    <t xml:space="preserve">Gaby Roblez</t>
  </si>
  <si>
    <t xml:space="preserve">gaby.roblez19@hotmail.com</t>
  </si>
  <si>
    <t xml:space="preserve">Paola Cain</t>
  </si>
  <si>
    <t xml:space="preserve">cainlema@outlook.com</t>
  </si>
  <si>
    <t xml:space="preserve">Jonathan Robles</t>
  </si>
  <si>
    <t xml:space="preserve">eddygarcia_07@hotmail.com</t>
  </si>
  <si>
    <t xml:space="preserve">Reinita López</t>
  </si>
  <si>
    <t xml:space="preserve">reiazlop@gmail.com</t>
  </si>
  <si>
    <t xml:space="preserve">no contesta buzon de voz (contacto repetido)</t>
  </si>
  <si>
    <t xml:space="preserve">Jhoïcë Yänez</t>
  </si>
  <si>
    <t xml:space="preserve">Yanezjhoana@gmail.com</t>
  </si>
  <si>
    <t xml:space="preserve">Milen Cedeño Yépez</t>
  </si>
  <si>
    <t xml:space="preserve">milencita2001@hotmail.com</t>
  </si>
  <si>
    <t xml:space="preserve">se le brindo informaciion lo conversara con sus padres volver a llamar</t>
  </si>
  <si>
    <t xml:space="preserve">Jorge Luis Barza SC</t>
  </si>
  <si>
    <t xml:space="preserve">jorheralcivar@hotmail.com</t>
  </si>
  <si>
    <t xml:space="preserve">se le brindo informacion y visitara la uteg</t>
  </si>
  <si>
    <t xml:space="preserve">Imaro Rafael Garces Camacho</t>
  </si>
  <si>
    <t xml:space="preserve">Imarorafaelg@gmail.com</t>
  </si>
  <si>
    <t xml:space="preserve">Blady Balseca</t>
  </si>
  <si>
    <t xml:space="preserve">balsecanogales@gmail.com</t>
  </si>
  <si>
    <t xml:space="preserve">Nathaly Buenoo</t>
  </si>
  <si>
    <t xml:space="preserve">natalya0210@hotmail.com</t>
  </si>
  <si>
    <t xml:space="preserve">Ingri Muñoz</t>
  </si>
  <si>
    <t xml:space="preserve">alejandra-mb92@outlook.com</t>
  </si>
  <si>
    <t xml:space="preserve">Molly Macas</t>
  </si>
  <si>
    <t xml:space="preserve">otty_mms@hotmail.com</t>
  </si>
  <si>
    <t xml:space="preserve">volver a llamar se encuentra viajando</t>
  </si>
  <si>
    <t xml:space="preserve">Danny RY</t>
  </si>
  <si>
    <t xml:space="preserve">rikiman_yanez98@hotmail.com</t>
  </si>
  <si>
    <t xml:space="preserve">Marina Calle</t>
  </si>
  <si>
    <t xml:space="preserve">calle.marina@yahoo.com</t>
  </si>
  <si>
    <t xml:space="preserve">Mabelita Zambrano</t>
  </si>
  <si>
    <t xml:space="preserve">zmabelita2@gmail.com</t>
  </si>
  <si>
    <t xml:space="preserve">Rocibel Valencia</t>
  </si>
  <si>
    <t xml:space="preserve">rmvm1315262457@gmail.com</t>
  </si>
  <si>
    <t xml:space="preserve">Wendii Moriitap</t>
  </si>
  <si>
    <t xml:space="preserve">morawendy1998@hotmail.com</t>
  </si>
  <si>
    <t xml:space="preserve">Tatiana Astudillo</t>
  </si>
  <si>
    <t xml:space="preserve">tatiana_yarel@hotmail.com</t>
  </si>
  <si>
    <t xml:space="preserve">Se asesora, y dice que va  a pensar la información y se comunicara por medio del WhatsApp </t>
  </si>
  <si>
    <t xml:space="preserve">Evelyn Torres</t>
  </si>
  <si>
    <t xml:space="preserve">tatymen9323@gmail.com</t>
  </si>
  <si>
    <t xml:space="preserve">Anthony Zambrano</t>
  </si>
  <si>
    <t xml:space="preserve">anthonyz2701@hotmail.com</t>
  </si>
  <si>
    <t xml:space="preserve">Maguita Ulloa Ulloa</t>
  </si>
  <si>
    <t xml:space="preserve">erika_1994_u@hotmail.com</t>
  </si>
  <si>
    <t xml:space="preserve">Silvana Cuenca</t>
  </si>
  <si>
    <t xml:space="preserve">silvana-cuenca@hotmail.com</t>
  </si>
  <si>
    <t xml:space="preserve">yuli</t>
  </si>
  <si>
    <t xml:space="preserve">july_ortiz@outlook.es</t>
  </si>
  <si>
    <t xml:space="preserve">Valerie Rivadeneira</t>
  </si>
  <si>
    <t xml:space="preserve">valeriarivadeneira@outlook.es</t>
  </si>
  <si>
    <t xml:space="preserve">Dario</t>
  </si>
  <si>
    <t xml:space="preserve">rcarrascos1@hotmail.com</t>
  </si>
  <si>
    <t xml:space="preserve">Indica acercarse  a la Uteg, desea turismo presencial pero en horario de la mañana </t>
  </si>
  <si>
    <t xml:space="preserve">Richard Villagran</t>
  </si>
  <si>
    <t xml:space="preserve">chichovt@yahoo.com</t>
  </si>
  <si>
    <t xml:space="preserve">allan Ezequiel</t>
  </si>
  <si>
    <t xml:space="preserve">allan22-22@hotmail.com</t>
  </si>
  <si>
    <t xml:space="preserve">Andrea Larreategui</t>
  </si>
  <si>
    <t xml:space="preserve">andrealarreattegui@gmail.com</t>
  </si>
  <si>
    <t xml:space="preserve">Nina</t>
  </si>
  <si>
    <t xml:space="preserve">andreina_95@live.com</t>
  </si>
  <si>
    <t xml:space="preserve">Giselle del Villamar Espinoza</t>
  </si>
  <si>
    <t xml:space="preserve">villamare_gise@hotmail.es</t>
  </si>
  <si>
    <t xml:space="preserve">Alcides Espinoza</t>
  </si>
  <si>
    <t xml:space="preserve">alcidesesp1983@hotmail.com</t>
  </si>
  <si>
    <t xml:space="preserve">Arianita Loor</t>
  </si>
  <si>
    <t xml:space="preserve">ariannaloorrios@gmail.com</t>
  </si>
  <si>
    <t xml:space="preserve">Tefo Gallardo</t>
  </si>
  <si>
    <t xml:space="preserve">detallesvalerys@outlook.es</t>
  </si>
  <si>
    <t xml:space="preserve">Contador Juan Felix Velastegui Ganchozo</t>
  </si>
  <si>
    <t xml:space="preserve">gerencia_gruvelsa@outlook.com</t>
  </si>
  <si>
    <t xml:space="preserve">Jeka D Dominguez</t>
  </si>
  <si>
    <t xml:space="preserve">jessicaarellanovera5@gmail.com</t>
  </si>
  <si>
    <t xml:space="preserve">Christian Yuquilema</t>
  </si>
  <si>
    <t xml:space="preserve">cristianyuquilema23@gmail.com</t>
  </si>
  <si>
    <t xml:space="preserve">Kimberly Solorzano Espinel</t>
  </si>
  <si>
    <t xml:space="preserve">kimberlysolorzano94@hotmail.com</t>
  </si>
  <si>
    <t xml:space="preserve">Fona Quiñonez</t>
  </si>
  <si>
    <t xml:space="preserve">fona3461@gmail.com</t>
  </si>
  <si>
    <t xml:space="preserve">Angelo Arce</t>
  </si>
  <si>
    <t xml:space="preserve">angeloarcer@outlook.com</t>
  </si>
  <si>
    <t xml:space="preserve">Patricia Alexandra</t>
  </si>
  <si>
    <t xml:space="preserve">patituprincesa1996@outlook.com</t>
  </si>
  <si>
    <t xml:space="preserve">Karen</t>
  </si>
  <si>
    <t xml:space="preserve">Karen_2014aguirre@outlook.com</t>
  </si>
  <si>
    <t xml:space="preserve">Andres Cse</t>
  </si>
  <si>
    <t xml:space="preserve">andy0991999@gmail.com</t>
  </si>
  <si>
    <t xml:space="preserve">Nicole Peña</t>
  </si>
  <si>
    <t xml:space="preserve">nicolepm96@hotmail.com</t>
  </si>
  <si>
    <t xml:space="preserve">Jesus El Nene</t>
  </si>
  <si>
    <t xml:space="preserve">chucho9111@hotmail.com</t>
  </si>
  <si>
    <t xml:space="preserve">Se envía información al correo, se agenda nueva llamada para confirmar correo y aclarar posibles dudas </t>
  </si>
  <si>
    <t xml:space="preserve">Nataly Cusme Franco</t>
  </si>
  <si>
    <t xml:space="preserve">cusmefnataly@gmail.com</t>
  </si>
  <si>
    <t xml:space="preserve">Indica que desea iniciar para el segundo semestre 2019</t>
  </si>
  <si>
    <t xml:space="preserve">Joselin Irene Yuquilema</t>
  </si>
  <si>
    <t xml:space="preserve">yuquilemajoselin2016@gmail.com</t>
  </si>
  <si>
    <t xml:space="preserve">Celeste Santillan</t>
  </si>
  <si>
    <t xml:space="preserve">celestes1995@gmail.com</t>
  </si>
  <si>
    <t xml:space="preserve">Tomas arnoldo Palma Espinoza</t>
  </si>
  <si>
    <t xml:space="preserve">tomaspalma84@gmail.com</t>
  </si>
  <si>
    <t xml:space="preserve">joselin schuldt</t>
  </si>
  <si>
    <t xml:space="preserve">joselinschuldt@gmail.com</t>
  </si>
  <si>
    <t xml:space="preserve">Darlyn Magallanes</t>
  </si>
  <si>
    <t xml:space="preserve">gabrielraperito@live.com</t>
  </si>
  <si>
    <t xml:space="preserve">Se deja mensaje a la mama, se agenda nueva llamada </t>
  </si>
  <si>
    <t xml:space="preserve">Julio Cesar Guerrero</t>
  </si>
  <si>
    <t xml:space="preserve">yuqui360@hotmail.com</t>
  </si>
  <si>
    <t xml:space="preserve">Génesis Blanco</t>
  </si>
  <si>
    <t xml:space="preserve">genesisblancomoreno@gmail.com</t>
  </si>
  <si>
    <t xml:space="preserve">Fatima Yambay Sinchi</t>
  </si>
  <si>
    <t xml:space="preserve">alexa_7_1986@hotmail.com</t>
  </si>
  <si>
    <t xml:space="preserve">Fernanda Alvarado</t>
  </si>
  <si>
    <t xml:space="preserve">luifer-26.1985@hotmail.com</t>
  </si>
  <si>
    <t xml:space="preserve">Dayanna Nicole Holguin Romero</t>
  </si>
  <si>
    <t xml:space="preserve">nicoleholguinromero@gmail.com</t>
  </si>
  <si>
    <t xml:space="preserve">Jason Francisco Quinto Reiban</t>
  </si>
  <si>
    <t xml:space="preserve">jasonquinto6@outlook.com</t>
  </si>
  <si>
    <t xml:space="preserve">Carlos Agila</t>
  </si>
  <si>
    <t xml:space="preserve">agila.carlos@hotmail.com</t>
  </si>
  <si>
    <t xml:space="preserve">Adriana Moran</t>
  </si>
  <si>
    <t xml:space="preserve">moranadriana0208@gmail.com</t>
  </si>
  <si>
    <t xml:space="preserve">Estaba ocupada, se deja mensaje a tercero </t>
  </si>
  <si>
    <t xml:space="preserve">Kevin Alejandro Ruiz</t>
  </si>
  <si>
    <t xml:space="preserve">k_alex_rcerna@hotmail.com</t>
  </si>
  <si>
    <t xml:space="preserve">Se asesora pero se corta la llamada y no hay más respuesta, se agenda nueva llamada </t>
  </si>
  <si>
    <t xml:space="preserve">Inés Pita</t>
  </si>
  <si>
    <t xml:space="preserve">magaly21_01@hotmail.com</t>
  </si>
  <si>
    <t xml:space="preserve">Saida Jimenez</t>
  </si>
  <si>
    <t xml:space="preserve">saidajimenezcalva@hotmail.com</t>
  </si>
  <si>
    <t xml:space="preserve">Se asesora, se envía información al correo, se agenda nueva llamada   </t>
  </si>
  <si>
    <t xml:space="preserve">Patito CA CA</t>
  </si>
  <si>
    <t xml:space="preserve">paty.campo@hotmail.com</t>
  </si>
  <si>
    <t xml:space="preserve">RoXii VelasQuez</t>
  </si>
  <si>
    <t xml:space="preserve">roxannatubebe@hotmail.com</t>
  </si>
  <si>
    <t xml:space="preserve">Michell Muñoz Rendon</t>
  </si>
  <si>
    <t xml:space="preserve">michellyhair123@gmail.com</t>
  </si>
  <si>
    <t xml:space="preserve">Thalia Tobar</t>
  </si>
  <si>
    <t xml:space="preserve">tali_tobar@hotmail.es</t>
  </si>
  <si>
    <t xml:space="preserve">Alexandra Saraguro Gonzales</t>
  </si>
  <si>
    <t xml:space="preserve">jacky_saragon@hotmail.com</t>
  </si>
  <si>
    <t xml:space="preserve">Jessica Torres de Mendoza</t>
  </si>
  <si>
    <t xml:space="preserve">jessy8204@hotmail.com</t>
  </si>
  <si>
    <t xml:space="preserve">FlavioAntony Buñay</t>
  </si>
  <si>
    <t xml:space="preserve">flavioantony@hotmail.com</t>
  </si>
  <si>
    <t xml:space="preserve">Edison Guaman</t>
  </si>
  <si>
    <t xml:space="preserve">edigeovanny008@hotmail.com</t>
  </si>
  <si>
    <t xml:space="preserve">Matias RM</t>
  </si>
  <si>
    <t xml:space="preserve">analiameza3@gmail.com</t>
  </si>
  <si>
    <t xml:space="preserve">Mathy Ponshera</t>
  </si>
  <si>
    <t xml:space="preserve">mateoponce24@gmail.com</t>
  </si>
  <si>
    <t xml:space="preserve">Santiago Perez</t>
  </si>
  <si>
    <t xml:space="preserve">santiago_19831@hotmail.com</t>
  </si>
  <si>
    <t xml:space="preserve">No tenia buena señal donde estaba, se agenda nueva llamada </t>
  </si>
  <si>
    <t xml:space="preserve">Fabian Flores</t>
  </si>
  <si>
    <t xml:space="preserve">fabys3000@gmail.com</t>
  </si>
  <si>
    <t xml:space="preserve">Se asesora y se realiza preinscripción, se envían requisitos al correo y los enviará en el transcurso de la semana  </t>
  </si>
  <si>
    <t xml:space="preserve">Velastegui Elit</t>
  </si>
  <si>
    <t xml:space="preserve">amelyloy@live.com</t>
  </si>
  <si>
    <t xml:space="preserve">Norma Malacatus Alvarez</t>
  </si>
  <si>
    <t xml:space="preserve">normamalacatus@gmail.com</t>
  </si>
  <si>
    <t xml:space="preserve">EDISON XAVIER RAMON REYES</t>
  </si>
  <si>
    <t xml:space="preserve">memin-18-@hotmail.com</t>
  </si>
  <si>
    <t xml:space="preserve">Alexita Villalva Arcos</t>
  </si>
  <si>
    <t xml:space="preserve">alexvaleale@hotmail.com</t>
  </si>
  <si>
    <t xml:space="preserve">Se asesora se agenda nueva llamada para seguir con información </t>
  </si>
  <si>
    <t xml:space="preserve">Alejandra Aguilar</t>
  </si>
  <si>
    <t xml:space="preserve">cristinna_701pa@hotmail.com</t>
  </si>
  <si>
    <t xml:space="preserve">Estefania Lituma</t>
  </si>
  <si>
    <t xml:space="preserve">te.fa.li@hotmail.com</t>
  </si>
  <si>
    <t xml:space="preserve">Ángeles Mejía</t>
  </si>
  <si>
    <t xml:space="preserve">angelesmejia@gmail.com</t>
  </si>
  <si>
    <t xml:space="preserve">Maria Magdalena Zambrano</t>
  </si>
  <si>
    <t xml:space="preserve">magdamm24zb@hotmail.com</t>
  </si>
  <si>
    <t xml:space="preserve">Se asesora, se envía información al correo, desea ingresar por homologación </t>
  </si>
  <si>
    <t xml:space="preserve">Junior Zavala</t>
  </si>
  <si>
    <t xml:space="preserve">joelzamu@hotmail.com</t>
  </si>
  <si>
    <t xml:space="preserve">Se asesora, indica acercarse directamente  a la universidad el dia sabado  </t>
  </si>
  <si>
    <t xml:space="preserve">Vicenta Elizabeth Loor Mendoza</t>
  </si>
  <si>
    <t xml:space="preserve">elizabethloor@outlook.es</t>
  </si>
  <si>
    <t xml:space="preserve">Roberto Quinde</t>
  </si>
  <si>
    <t xml:space="preserve">raquinde@espol.edu.ec</t>
  </si>
  <si>
    <t xml:space="preserve">Nika Nika</t>
  </si>
  <si>
    <t xml:space="preserve">maritza.parrales@outlook.com</t>
  </si>
  <si>
    <t xml:space="preserve">Se le envía información al WhatsApp</t>
  </si>
  <si>
    <t xml:space="preserve">Dibiana Charcopa</t>
  </si>
  <si>
    <t xml:space="preserve">dibia605@hotmail.com</t>
  </si>
  <si>
    <t xml:space="preserve">se asesora, se envía información al correo, desea ingresar por homologación </t>
  </si>
  <si>
    <t xml:space="preserve">hara la solicitud para homologacion para poder sacar la licenciatura</t>
  </si>
  <si>
    <t xml:space="preserve">Andrea Pinto Granda</t>
  </si>
  <si>
    <t xml:space="preserve">apintodr@hotmail.com</t>
  </si>
  <si>
    <t xml:space="preserve">Alejandra Andrade</t>
  </si>
  <si>
    <t xml:space="preserve">aleandrade_1227@hotmail.com</t>
  </si>
  <si>
    <t xml:space="preserve">Nuria Del Carmen Benavides</t>
  </si>
  <si>
    <t xml:space="preserve">nuriafranco_2006@hotmail.com</t>
  </si>
  <si>
    <t xml:space="preserve">Gualberto Gisley Guerrero Goyes</t>
  </si>
  <si>
    <t xml:space="preserve">g.guerrero123@hotmail.es</t>
  </si>
  <si>
    <t xml:space="preserve">Jeanin Fer</t>
  </si>
  <si>
    <t xml:space="preserve">ferjeaferzam@hotmail.com</t>
  </si>
  <si>
    <t xml:space="preserve">Enrique Marin</t>
  </si>
  <si>
    <t xml:space="preserve">nando710@hotmail.com</t>
  </si>
  <si>
    <t xml:space="preserve">Johanna Solis</t>
  </si>
  <si>
    <t xml:space="preserve">johannasolis1986@gmail.com</t>
  </si>
  <si>
    <t xml:space="preserve">Se asesora, indica que se va acercar a la universidad   directamente </t>
  </si>
  <si>
    <t xml:space="preserve">Josè Montoya</t>
  </si>
  <si>
    <t xml:space="preserve">josemontoya75@hotmail.com</t>
  </si>
  <si>
    <t xml:space="preserve">Se  asesora sobre la maestría, se envia correo y se agenda nueva llamada para confirmar si llego correo </t>
  </si>
  <si>
    <t xml:space="preserve">Katherine Sornoza</t>
  </si>
  <si>
    <t xml:space="preserve">katti1089@hotmail.com</t>
  </si>
  <si>
    <t xml:space="preserve">Geanella Granda</t>
  </si>
  <si>
    <t xml:space="preserve">gea_granda@hotmail.com</t>
  </si>
  <si>
    <t xml:space="preserve">Gladys Cruz Yosa</t>
  </si>
  <si>
    <t xml:space="preserve">gladyscruz637@gmali.com</t>
  </si>
  <si>
    <t xml:space="preserve">Marthita Ortegamyo</t>
  </si>
  <si>
    <t xml:space="preserve">marthaortegas1990@gamil.com</t>
  </si>
  <si>
    <t xml:space="preserve">Se asesora y se agenda nueva llamada para seguir con toda la información </t>
  </si>
  <si>
    <t xml:space="preserve">Cristina Tipan</t>
  </si>
  <si>
    <t xml:space="preserve">cetsatqm2002@hotmail.com</t>
  </si>
  <si>
    <t xml:space="preserve">Carmen Bone Prado</t>
  </si>
  <si>
    <t xml:space="preserve">alexajumalay@gmail.com</t>
  </si>
  <si>
    <t xml:space="preserve">Darling Bravo Velasquez</t>
  </si>
  <si>
    <t xml:space="preserve">darling_20xbv@hotmail.com</t>
  </si>
  <si>
    <t xml:space="preserve">Isma Cebe</t>
  </si>
  <si>
    <t xml:space="preserve">maiscebe9@hotmail.com</t>
  </si>
  <si>
    <t xml:space="preserve">Adal Cajas</t>
  </si>
  <si>
    <t xml:space="preserve">adal_cajas@hotmail.com</t>
  </si>
  <si>
    <t xml:space="preserve">Alejandro Taday</t>
  </si>
  <si>
    <t xml:space="preserve">alejandroflipp@hotmail.com</t>
  </si>
  <si>
    <t xml:space="preserve">johnbarreno@hotmail.com</t>
  </si>
  <si>
    <t xml:space="preserve">Kathy Castillo Vera</t>
  </si>
  <si>
    <t xml:space="preserve">Castilloverak@gmail</t>
  </si>
  <si>
    <t xml:space="preserve">Se brinda asesoría, desea ingresar por homologación, indica acercarse directamente a la universidad  </t>
  </si>
  <si>
    <t xml:space="preserve">Eliana Vega</t>
  </si>
  <si>
    <t xml:space="preserve">eli_vega2@outlook.com</t>
  </si>
  <si>
    <t xml:space="preserve">Maritza Madelyne</t>
  </si>
  <si>
    <t xml:space="preserve">mcpluas1995@gmail.com</t>
  </si>
  <si>
    <t xml:space="preserve">Cinthia Aguirre</t>
  </si>
  <si>
    <t xml:space="preserve">cinthiaaguirre2@hotmail.com</t>
  </si>
  <si>
    <t xml:space="preserve">Luis Medina</t>
  </si>
  <si>
    <t xml:space="preserve">Luismedina_90@outlook.com</t>
  </si>
  <si>
    <t xml:space="preserve">Kelvin Rendon</t>
  </si>
  <si>
    <t xml:space="preserve">kelvin_rendon19@hotmail.com</t>
  </si>
  <si>
    <t xml:space="preserve">solicito informacion por whatsapp de las maestrias</t>
  </si>
  <si>
    <t xml:space="preserve">Katiiusca Parra</t>
  </si>
  <si>
    <t xml:space="preserve">Katiuscaparra2017@gmail.com</t>
  </si>
  <si>
    <t xml:space="preserve">Se asesora, indica que le va a comunicar a la mama y se  contactara por WhatsApp </t>
  </si>
  <si>
    <t xml:space="preserve">Walter Bohorquez</t>
  </si>
  <si>
    <t xml:space="preserve">walterbp_81@hotmail.com</t>
  </si>
  <si>
    <t xml:space="preserve">Marichui Orellana</t>
  </si>
  <si>
    <t xml:space="preserve">angelita_naima@hotmail.com</t>
  </si>
  <si>
    <t xml:space="preserve">Sandra Quishpe Castro</t>
  </si>
  <si>
    <t xml:space="preserve">smsam2409@gmail.com</t>
  </si>
  <si>
    <t xml:space="preserve">Andres Caseres Aucancela</t>
  </si>
  <si>
    <t xml:space="preserve">licdo_ivan_caseres@hotmail.com</t>
  </si>
  <si>
    <t xml:space="preserve">Interesado para una amiga, se envía información al Whatsapp  </t>
  </si>
  <si>
    <t xml:space="preserve">Victor Valdiviezo Caicedo</t>
  </si>
  <si>
    <t xml:space="preserve">vvaldiviezo@quala.com.ec</t>
  </si>
  <si>
    <t xml:space="preserve">Se envía información al correo, se agenda nueva llamada</t>
  </si>
  <si>
    <t xml:space="preserve">Gigi Yunga Suriaga</t>
  </si>
  <si>
    <t xml:space="preserve">Gisnar92@gmail.com</t>
  </si>
  <si>
    <t xml:space="preserve">Se asesora, se agenda nueva llamada </t>
  </si>
  <si>
    <t xml:space="preserve">Cindi GB</t>
  </si>
  <si>
    <t xml:space="preserve">Flor Paramo</t>
  </si>
  <si>
    <t xml:space="preserve">viniarce197@hotmail.com</t>
  </si>
  <si>
    <t xml:space="preserve">Me comunique con el esposo, se deja mensaje con el, y se agenda nueva llamada para mirar si ya tiene la información y aclarar posibles dudas </t>
  </si>
  <si>
    <t xml:space="preserve">Erika Tamayo</t>
  </si>
  <si>
    <t xml:space="preserve">erikatamayo2011@hotmail.com</t>
  </si>
  <si>
    <t xml:space="preserve">Grace Cárdenas Sanchez</t>
  </si>
  <si>
    <t xml:space="preserve">gracejulissa@hotmail.com</t>
  </si>
  <si>
    <t xml:space="preserve">Jaqueline Picuña</t>
  </si>
  <si>
    <t xml:space="preserve">(04)6012533</t>
  </si>
  <si>
    <t xml:space="preserve">merypicua@gmail.com</t>
  </si>
  <si>
    <t xml:space="preserve">solicito informacion por correo electronico </t>
  </si>
  <si>
    <t xml:space="preserve">Gonzalo Molina</t>
  </si>
  <si>
    <t xml:space="preserve">gonzalojuvenalm@gmail.com</t>
  </si>
  <si>
    <t xml:space="preserve">Patty Caicedo</t>
  </si>
  <si>
    <t xml:space="preserve">A.lexacaice@hotmail.com</t>
  </si>
  <si>
    <t xml:space="preserve">Miriam Alexandra Bailon Barreto</t>
  </si>
  <si>
    <t xml:space="preserve">mirialexbaibarreto@gmail.com</t>
  </si>
  <si>
    <t xml:space="preserve">Narcisa Vargas</t>
  </si>
  <si>
    <t xml:space="preserve">v.narcisa@yahoo.com</t>
  </si>
  <si>
    <t xml:space="preserve">Karla Vasquez</t>
  </si>
  <si>
    <t xml:space="preserve">karlavquez@gmail.com</t>
  </si>
  <si>
    <t xml:space="preserve">Angel Guaman</t>
  </si>
  <si>
    <t xml:space="preserve">ajga_1984@hotmail.com</t>
  </si>
  <si>
    <t xml:space="preserve">Se asesora, indica asistir directamente  a la universidad </t>
  </si>
  <si>
    <t xml:space="preserve">JennLin CentValencia</t>
  </si>
  <si>
    <t xml:space="preserve">jeacenteno@hotmail.com</t>
  </si>
  <si>
    <t xml:space="preserve">Miriam Peláez Palomeque</t>
  </si>
  <si>
    <t xml:space="preserve">mysol2004@hotmail.com</t>
  </si>
  <si>
    <t xml:space="preserve">Samantha Satama</t>
  </si>
  <si>
    <t xml:space="preserve">jeffersonyjojan@hotmail.com</t>
  </si>
  <si>
    <t xml:space="preserve">Indica que desea aplazar </t>
  </si>
  <si>
    <t xml:space="preserve">Andreinita Cantos Verduga</t>
  </si>
  <si>
    <t xml:space="preserve">latiti_andreina24@hotmail.com</t>
  </si>
  <si>
    <t xml:space="preserve">Yesibel Curipoma</t>
  </si>
  <si>
    <t xml:space="preserve">yesibelynixon@hotmail.com</t>
  </si>
  <si>
    <t xml:space="preserve">Cris Alejita</t>
  </si>
  <si>
    <t xml:space="preserve">criz.beiia@hotmail.com</t>
  </si>
  <si>
    <t xml:space="preserve">dianosquis.93_@hotmail.com</t>
  </si>
  <si>
    <t xml:space="preserve">Marcos Bueno</t>
  </si>
  <si>
    <t xml:space="preserve">marco_093@live.com</t>
  </si>
  <si>
    <t xml:space="preserve">gloria stefany fajardo Macias</t>
  </si>
  <si>
    <t xml:space="preserve">stefany.fajardo1998@outlook.com</t>
  </si>
  <si>
    <t xml:space="preserve">indica asistir directamente  a la universidad </t>
  </si>
  <si>
    <t xml:space="preserve">Solange Mosquera</t>
  </si>
  <si>
    <t xml:space="preserve">solangemosquera95@gmail.com</t>
  </si>
  <si>
    <t xml:space="preserve">Zamy Leon Jara</t>
  </si>
  <si>
    <t xml:space="preserve">yozamyleon@outlook.com</t>
  </si>
  <si>
    <t xml:space="preserve">Ulises Alvarado</t>
  </si>
  <si>
    <t xml:space="preserve">ulises_alvarado99@hotmail.com</t>
  </si>
  <si>
    <t xml:space="preserve">Cristhian Jaens</t>
  </si>
  <si>
    <t xml:space="preserve">cristhianjaens@gmail.com</t>
  </si>
  <si>
    <t xml:space="preserve">Joelyn Ordoñez</t>
  </si>
  <si>
    <t xml:space="preserve">joelyn_23@hotmail.com</t>
  </si>
  <si>
    <t xml:space="preserve">Jorge Saúl Guerrero Pilay</t>
  </si>
  <si>
    <t xml:space="preserve">saul.guerrero.pilay@gmail.com</t>
  </si>
  <si>
    <t xml:space="preserve">Karelys Michelle Bueno Parrales</t>
  </si>
  <si>
    <t xml:space="preserve">Karelys_bueno22@outlook.com</t>
  </si>
  <si>
    <t xml:space="preserve">Jorge Cevallos</t>
  </si>
  <si>
    <t xml:space="preserve">jc-9402@hotmail.com</t>
  </si>
  <si>
    <t xml:space="preserve">Danilo Vargas</t>
  </si>
  <si>
    <t xml:space="preserve">danilovargas@hotmail.es</t>
  </si>
  <si>
    <t xml:space="preserve">se le envia informacion al correo electronico</t>
  </si>
  <si>
    <t xml:space="preserve">Katty Figueroa</t>
  </si>
  <si>
    <t xml:space="preserve">katty_9008@hotmail.com</t>
  </si>
  <si>
    <t xml:space="preserve">Maria De Los Angeles Mecias Quinde</t>
  </si>
  <si>
    <t xml:space="preserve">maria_anai@outlook.com</t>
  </si>
  <si>
    <t xml:space="preserve">se le brindo infromacion por llamada visitara la uteg</t>
  </si>
  <si>
    <t xml:space="preserve">Jefferson Quinde</t>
  </si>
  <si>
    <t xml:space="preserve">jeffer-15jaqy@outlook.com</t>
  </si>
  <si>
    <t xml:space="preserve">Jason Rst</t>
  </si>
  <si>
    <t xml:space="preserve">riki.sacon@hotmail.com</t>
  </si>
  <si>
    <t xml:space="preserve">Yady Elizabeth</t>
  </si>
  <si>
    <t xml:space="preserve">yady.elizabeth@hotmail.com</t>
  </si>
  <si>
    <t xml:space="preserve">Nelly Carmita Ruiz Ruiz</t>
  </si>
  <si>
    <t xml:space="preserve">carmitaruiz40@hotmail.com</t>
  </si>
  <si>
    <t xml:space="preserve">Heidisita Bravo</t>
  </si>
  <si>
    <t xml:space="preserve">heidisitap963@hotmail.com</t>
  </si>
  <si>
    <t xml:space="preserve">Betsabeth Mejia Herrera</t>
  </si>
  <si>
    <t xml:space="preserve">Betsamejia@gmail.com</t>
  </si>
  <si>
    <t xml:space="preserve">Luis Medina Gómez</t>
  </si>
  <si>
    <t xml:space="preserve">lmedina2018g@gmail.com</t>
  </si>
  <si>
    <t xml:space="preserve">Jens Julio Navarro Sernaqué</t>
  </si>
  <si>
    <t xml:space="preserve">jens_72@hotmail.com</t>
  </si>
  <si>
    <t xml:space="preserve">Adriana Melissa Zambrano</t>
  </si>
  <si>
    <t xml:space="preserve">meli_za2606@hotmail.com</t>
  </si>
  <si>
    <t xml:space="preserve">Fernando Granda</t>
  </si>
  <si>
    <t xml:space="preserve">gruposursi@hotmail.com</t>
  </si>
  <si>
    <t xml:space="preserve">Luis Alvarado</t>
  </si>
  <si>
    <t xml:space="preserve">alvaradolm_1989@hotmail.com</t>
  </si>
  <si>
    <t xml:space="preserve">Alejandra De Jesus</t>
  </si>
  <si>
    <t xml:space="preserve">alejitadjc@gmail.com</t>
  </si>
  <si>
    <t xml:space="preserve">Carlos Jimenez</t>
  </si>
  <si>
    <t xml:space="preserve">cabjimenez@hotmail.com</t>
  </si>
  <si>
    <t xml:space="preserve">Geomara Lisseth</t>
  </si>
  <si>
    <t xml:space="preserve">César Arboleda</t>
  </si>
  <si>
    <t xml:space="preserve">arbolibarra@yahoo.com</t>
  </si>
  <si>
    <t xml:space="preserve">Gloria Villagrán</t>
  </si>
  <si>
    <t xml:space="preserve">glorivillagran55@gmail.com</t>
  </si>
  <si>
    <t xml:space="preserve">wilson sanchez</t>
  </si>
  <si>
    <t xml:space="preserve">wilsonfer777@hotmail.com</t>
  </si>
  <si>
    <t xml:space="preserve">Edwin Freddy Marquina Pesantez</t>
  </si>
  <si>
    <t xml:space="preserve">edwinpesantez01@gmail.com</t>
  </si>
  <si>
    <t xml:space="preserve">Diego Acuña Cortés</t>
  </si>
  <si>
    <t xml:space="preserve">diegopatricioaccortes@gamil.com</t>
  </si>
  <si>
    <t xml:space="preserve">se le brindo la informacion y lo pensara (volver a llamar)</t>
  </si>
  <si>
    <t xml:space="preserve">Angelica Elizabeth Arana</t>
  </si>
  <si>
    <t xml:space="preserve">bebyx100_@hotmail.com</t>
  </si>
  <si>
    <t xml:space="preserve">Washington Javier Macias del Pozo</t>
  </si>
  <si>
    <t xml:space="preserve">washingtonmacias971@gmail.com</t>
  </si>
  <si>
    <t xml:space="preserve">Alexandrita Zurita</t>
  </si>
  <si>
    <t xml:space="preserve">magalicelas1990@gmail.com</t>
  </si>
  <si>
    <t xml:space="preserve">Alexandra Moreano</t>
  </si>
  <si>
    <t xml:space="preserve">alexandra_moreya@hotmail.com</t>
  </si>
  <si>
    <t xml:space="preserve">se le brindo informacion por llamada aun no posee titulo universitario</t>
  </si>
  <si>
    <t xml:space="preserve">Betsy Orrala Alarcon</t>
  </si>
  <si>
    <t xml:space="preserve">betsy_or_17@hotmail.com</t>
  </si>
  <si>
    <t xml:space="preserve">Dayce Isabela Bravo Durango</t>
  </si>
  <si>
    <t xml:space="preserve">isita_8411@hotmail.com</t>
  </si>
  <si>
    <t xml:space="preserve">Karen Arcentales</t>
  </si>
  <si>
    <t xml:space="preserve">karen_arcen21@hotmail.com</t>
  </si>
  <si>
    <t xml:space="preserve">Maria Jose Navarrete</t>
  </si>
  <si>
    <t xml:space="preserve">Mario Cortez</t>
  </si>
  <si>
    <t xml:space="preserve">mariocortez1974@hotmail.com</t>
  </si>
  <si>
    <t xml:space="preserve">solicito la informacion al correo electronico volver a llamar</t>
  </si>
  <si>
    <t xml:space="preserve">Biuty Cedeño Witong</t>
  </si>
  <si>
    <t xml:space="preserve">biuty_92@hotmail.com</t>
  </si>
  <si>
    <t xml:space="preserve">el numero de tlf esta temporalmente suspendido</t>
  </si>
  <si>
    <t xml:space="preserve">Elsie Coloma Carrion</t>
  </si>
  <si>
    <t xml:space="preserve">elsiecolomac@gmail.com</t>
  </si>
  <si>
    <t xml:space="preserve">Joselin Contreras</t>
  </si>
  <si>
    <t xml:space="preserve">joselincontreras12@gmail.com</t>
  </si>
  <si>
    <t xml:space="preserve">Nayen Santo</t>
  </si>
  <si>
    <t xml:space="preserve">vik.i30@hotmail.com</t>
  </si>
  <si>
    <t xml:space="preserve">Carmen Quinto Mora</t>
  </si>
  <si>
    <t xml:space="preserve">francisquinto@hotmail.com</t>
  </si>
  <si>
    <t xml:space="preserve">Andreina Yolanda Gilces Vera</t>
  </si>
  <si>
    <t xml:space="preserve">yolanda1307@hotmail.es</t>
  </si>
  <si>
    <t xml:space="preserve">Arelis Valdano</t>
  </si>
  <si>
    <t xml:space="preserve">andreazul91@hotmail.com</t>
  </si>
  <si>
    <t xml:space="preserve">Karito Alexa</t>
  </si>
  <si>
    <t xml:space="preserve">karitone_1993@hotmail.com</t>
  </si>
  <si>
    <t xml:space="preserve">Luby Espinoza</t>
  </si>
  <si>
    <t xml:space="preserve">lubyespinoza@hotmail.com</t>
  </si>
  <si>
    <t xml:space="preserve">Vale Garay</t>
  </si>
  <si>
    <t xml:space="preserve">valegaray26@hotmail.com</t>
  </si>
  <si>
    <t xml:space="preserve">Jonathan Oswaldo Tapia Piedra</t>
  </si>
  <si>
    <t xml:space="preserve">jotp1989@gmail.com</t>
  </si>
  <si>
    <t xml:space="preserve">se le brinda informacion por llamada y lo pensara antes de tomar una decision volver a llamar</t>
  </si>
  <si>
    <t xml:space="preserve">Flavio Antony Buñay</t>
  </si>
  <si>
    <t xml:space="preserve">flavioantony@hotmail.con</t>
  </si>
  <si>
    <t xml:space="preserve">Steffy Gmv</t>
  </si>
  <si>
    <t xml:space="preserve">gabmedina85@hotmail.com</t>
  </si>
  <si>
    <t xml:space="preserve">Marthita Guaman</t>
  </si>
  <si>
    <t xml:space="preserve">Martinez Susy</t>
  </si>
  <si>
    <t xml:space="preserve">sol_china1993@hotmail.com</t>
  </si>
  <si>
    <t xml:space="preserve">se le brindo informacion y lo consultara con sus padres volver a lamar</t>
  </si>
  <si>
    <t xml:space="preserve">se le envio la informacion por correo electronico</t>
  </si>
  <si>
    <t xml:space="preserve">Miguel Lopez</t>
  </si>
  <si>
    <t xml:space="preserve">LiiLii Nëira</t>
  </si>
  <si>
    <t xml:space="preserve">Liliananeira923@gmail.com</t>
  </si>
  <si>
    <t xml:space="preserve">Esteeven Montoya</t>
  </si>
  <si>
    <t xml:space="preserve">Caro Poveda</t>
  </si>
  <si>
    <t xml:space="preserve">caropovedaz@hotmail.com</t>
  </si>
  <si>
    <t xml:space="preserve">Rebeca SanMartin</t>
  </si>
  <si>
    <t xml:space="preserve">rebesanmartin1980@gmail.com</t>
  </si>
  <si>
    <t xml:space="preserve">Yanibed Arroyo</t>
  </si>
  <si>
    <t xml:space="preserve">arroyito28@hotmail.com</t>
  </si>
  <si>
    <t xml:space="preserve">Gabyta Fiallos</t>
  </si>
  <si>
    <t xml:space="preserve">gabbyf_142826@hotmail.com</t>
  </si>
  <si>
    <t xml:space="preserve">Rosa Leticia Toalongo Guarquila</t>
  </si>
  <si>
    <t xml:space="preserve">leticiarosi-1234@hotmail.com</t>
  </si>
  <si>
    <t xml:space="preserve">se contacto por whatsapp visitara la uteg</t>
  </si>
  <si>
    <t xml:space="preserve">Gladys Chinga</t>
  </si>
  <si>
    <t xml:space="preserve">Gladyschinga81@gmail.com</t>
  </si>
  <si>
    <t xml:space="preserve">Carmen Isabel Lopez Aviles</t>
  </si>
  <si>
    <t xml:space="preserve">isabellroca_11@outlook.com</t>
  </si>
  <si>
    <t xml:space="preserve">Evita Zamora</t>
  </si>
  <si>
    <t xml:space="preserve">Zamoraeva72@gmail.com</t>
  </si>
  <si>
    <t xml:space="preserve">EliCris Alvarado</t>
  </si>
  <si>
    <t xml:space="preserve">Elicris0312@gmail.com</t>
  </si>
  <si>
    <t xml:space="preserve">Selena Solorzano</t>
  </si>
  <si>
    <t xml:space="preserve">salena_solorzano24@hotmail.com</t>
  </si>
  <si>
    <t xml:space="preserve">volver a lamar se encuentra ocupada</t>
  </si>
  <si>
    <t xml:space="preserve">Joselyn Stephania Navarro Garcia</t>
  </si>
  <si>
    <t xml:space="preserve">joshy1693@hotmail.com</t>
  </si>
  <si>
    <t xml:space="preserve">Joe Anthony Issa</t>
  </si>
  <si>
    <t xml:space="preserve">jose_ant_20@hotmail.es</t>
  </si>
  <si>
    <t xml:space="preserve">Victor Valdivieso Sanchez</t>
  </si>
  <si>
    <t xml:space="preserve">Victorvaldivieso@hotmail.com</t>
  </si>
  <si>
    <t xml:space="preserve">se le brindo la informacion por llamada, lo pensara antes de tomar una decision</t>
  </si>
  <si>
    <t xml:space="preserve">Jeff Vear</t>
  </si>
  <si>
    <t xml:space="preserve">Jefferson_vera@live.com</t>
  </si>
  <si>
    <t xml:space="preserve">Ronny Nahomy Mendoza Jimenez</t>
  </si>
  <si>
    <t xml:space="preserve">mendoza10@hotmail.com</t>
  </si>
  <si>
    <t xml:space="preserve">Jaquelinne Bessie Noblecilla Gallardo</t>
  </si>
  <si>
    <t xml:space="preserve">Paola Lorena Garcia Cedeño</t>
  </si>
  <si>
    <t xml:space="preserve">Paolita1007@hotmail.com</t>
  </si>
  <si>
    <t xml:space="preserve">Jhon J Meneses</t>
  </si>
  <si>
    <t xml:space="preserve">jhon_meneses@yahoo.com</t>
  </si>
  <si>
    <t xml:space="preserve">Miryam Chipantiza</t>
  </si>
  <si>
    <t xml:space="preserve">Estefania BC</t>
  </si>
  <si>
    <t xml:space="preserve">dianacarranza1989.dc@gmail.com</t>
  </si>
  <si>
    <t xml:space="preserve">Lyne Borbor</t>
  </si>
  <si>
    <t xml:space="preserve">joselineborbor@gmail.com</t>
  </si>
  <si>
    <t xml:space="preserve">se lenvio informacion al correo electronico ya que no posee tlf</t>
  </si>
  <si>
    <t xml:space="preserve">Jessica V. Rico Muñoz</t>
  </si>
  <si>
    <t xml:space="preserve">Villethrico@gmail.com</t>
  </si>
  <si>
    <t xml:space="preserve">Luis Ibarra</t>
  </si>
  <si>
    <t xml:space="preserve">Luisibarra12@outlook.es</t>
  </si>
  <si>
    <t xml:space="preserve">Annabelle Yana</t>
  </si>
  <si>
    <t xml:space="preserve">evelynmora_25@hotmail.com</t>
  </si>
  <si>
    <t xml:space="preserve">Danny Briones</t>
  </si>
  <si>
    <t xml:space="preserve">Andres_baque92@hotmail.com</t>
  </si>
  <si>
    <t xml:space="preserve">se le brindo informacion volver a llamar</t>
  </si>
  <si>
    <t xml:space="preserve">Sandra Paola Jativa</t>
  </si>
  <si>
    <t xml:space="preserve">manuel21062017@gmail.com</t>
  </si>
  <si>
    <t xml:space="preserve">se le brindo informacion (mensaje a tercero)</t>
  </si>
  <si>
    <t xml:space="preserve">Edison Yiyo Jaramillo</t>
  </si>
  <si>
    <t xml:space="preserve">edisongonzalo2016@outlook.com</t>
  </si>
  <si>
    <t xml:space="preserve">Daniela Espinoza Espinoza</t>
  </si>
  <si>
    <t xml:space="preserve">Bertha_dani19@hotmail.com</t>
  </si>
  <si>
    <t xml:space="preserve">Stefania Loor Martillo</t>
  </si>
  <si>
    <t xml:space="preserve">Erika19_29@hotmail.com</t>
  </si>
  <si>
    <t xml:space="preserve">Se asesora, y se envia informacion por WhatsApp</t>
  </si>
  <si>
    <t xml:space="preserve">Ronaldo Crym</t>
  </si>
  <si>
    <t xml:space="preserve">carlosyuquilema@outlook.es</t>
  </si>
  <si>
    <t xml:space="preserve">Andrea Vallejo</t>
  </si>
  <si>
    <t xml:space="preserve">andreavallejo_mp@hotmail.com</t>
  </si>
  <si>
    <t xml:space="preserve">MaGu Andrade</t>
  </si>
  <si>
    <t xml:space="preserve">magu_92@Hotmail.es</t>
  </si>
  <si>
    <t xml:space="preserve">No habia numero, se envia correo con información  </t>
  </si>
  <si>
    <t xml:space="preserve">Cinthya Paredes</t>
  </si>
  <si>
    <t xml:space="preserve">karina mozombite caynamari</t>
  </si>
  <si>
    <t xml:space="preserve">mozombitekarina@outlook.com</t>
  </si>
  <si>
    <t xml:space="preserve">Tania Arias</t>
  </si>
  <si>
    <t xml:space="preserve">tarias107@gmail.com</t>
  </si>
  <si>
    <t xml:space="preserve">Se asesora y se agenda nueva llamada para mirar qué ha pensado </t>
  </si>
  <si>
    <t xml:space="preserve">Gaby Lopez</t>
  </si>
  <si>
    <t xml:space="preserve">gabylopez19871@outlook.com</t>
  </si>
  <si>
    <t xml:space="preserve">Se asesora, se envía información al WhatsApp</t>
  </si>
  <si>
    <t xml:space="preserve">Daicy Erazo</t>
  </si>
  <si>
    <t xml:space="preserve">andreabelen365@gmail.com</t>
  </si>
  <si>
    <t xml:space="preserve">Danny Sanchez</t>
  </si>
  <si>
    <t xml:space="preserve">dan_san_21@hotmail.com</t>
  </si>
  <si>
    <t xml:space="preserve">Cevallos EC Patricia</t>
  </si>
  <si>
    <t xml:space="preserve">pangheblass@gmail.com</t>
  </si>
  <si>
    <t xml:space="preserve">Se asesora, se envía información al correo y se agenda nueva llamada </t>
  </si>
  <si>
    <t xml:space="preserve">rosa sibri</t>
  </si>
  <si>
    <t xml:space="preserve">margaritasibri-01@outlook.com</t>
  </si>
  <si>
    <t xml:space="preserve">ronald ariel</t>
  </si>
  <si>
    <t xml:space="preserve">ronald1998salazar@gmail.com</t>
  </si>
  <si>
    <t xml:space="preserve">María José Ganchozo Alcivar</t>
  </si>
  <si>
    <t xml:space="preserve">maryjoe_1994@hotmail.com</t>
  </si>
  <si>
    <t xml:space="preserve">Rocio Quichimbo</t>
  </si>
  <si>
    <t xml:space="preserve">deysirocio@hotmail.com</t>
  </si>
  <si>
    <t xml:space="preserve">Paola Ruiz</t>
  </si>
  <si>
    <t xml:space="preserve">paolaruiz1993@outlook.es</t>
  </si>
  <si>
    <t xml:space="preserve">Jimena Castillo</t>
  </si>
  <si>
    <t xml:space="preserve">jimenacastilloquinonez@gmail.com</t>
  </si>
  <si>
    <t xml:space="preserve">Jessma Loquita Bella</t>
  </si>
  <si>
    <t xml:space="preserve">maribel2012ok_@hotmail.es</t>
  </si>
  <si>
    <t xml:space="preserve">Elizabeth Guadalupe Aray Borja</t>
  </si>
  <si>
    <t xml:space="preserve">guadalupearayb@hotmail.com</t>
  </si>
  <si>
    <t xml:space="preserve">García Laborde Denisse</t>
  </si>
  <si>
    <t xml:space="preserve">mayorgahenry982@gmail.com</t>
  </si>
  <si>
    <t xml:space="preserve">Luzmila Yépez</t>
  </si>
  <si>
    <t xml:space="preserve">luzpenyeni@gmail.com</t>
  </si>
  <si>
    <t xml:space="preserve">volver a llamar en otra oportunidad de momento no esta interesada</t>
  </si>
  <si>
    <t xml:space="preserve">Stefania Marian Valdez Alcivar</t>
  </si>
  <si>
    <t xml:space="preserve">dannatuarez21@hotmail.com</t>
  </si>
  <si>
    <t xml:space="preserve">Daniela Pavon</t>
  </si>
  <si>
    <t xml:space="preserve">ricardoantonio1962p@gmail.com</t>
  </si>
  <si>
    <t xml:space="preserve">Diana Tenesaca</t>
  </si>
  <si>
    <t xml:space="preserve">dianatenesacaarpi@gmail.com</t>
  </si>
  <si>
    <t xml:space="preserve">Pablo roque móncayo cuadros</t>
  </si>
  <si>
    <t xml:space="preserve">pabloroquemoncayo@gmail.com</t>
  </si>
  <si>
    <t xml:space="preserve">Luis Yantalema</t>
  </si>
  <si>
    <t xml:space="preserve">melan-2010@outlook.com</t>
  </si>
  <si>
    <t xml:space="preserve">Michael Navarrete</t>
  </si>
  <si>
    <t xml:space="preserve">michaelnava@hotmail.com</t>
  </si>
  <si>
    <t xml:space="preserve">Angel Omar Narvaez Ormeño</t>
  </si>
  <si>
    <t xml:space="preserve">anarvaez10@hotmail.com</t>
  </si>
  <si>
    <t xml:space="preserve">Andrés Mendoza</t>
  </si>
  <si>
    <t xml:space="preserve">joseandresmb19@gmail.com</t>
  </si>
  <si>
    <t xml:space="preserve">Gabii M Villao</t>
  </si>
  <si>
    <t xml:space="preserve">angiemoralesvillao@gmail.com</t>
  </si>
  <si>
    <t xml:space="preserve">Ingrid Murillo</t>
  </si>
  <si>
    <t xml:space="preserve">ingrid_murillo82@hotmail.com</t>
  </si>
  <si>
    <t xml:space="preserve">solicito informacion via whatsapp</t>
  </si>
  <si>
    <t xml:space="preserve">karina Isabel Baque Santana</t>
  </si>
  <si>
    <t xml:space="preserve">karisabs8993@gmail.com</t>
  </si>
  <si>
    <t xml:space="preserve">Bryan Herrera</t>
  </si>
  <si>
    <t xml:space="preserve">eltiteritop@gmail.com</t>
  </si>
  <si>
    <t xml:space="preserve">interesado se realizo preinscripcion en la llamada</t>
  </si>
  <si>
    <t xml:space="preserve">Lucy Moyon</t>
  </si>
  <si>
    <t xml:space="preserve">rositapaltan04@gmail.com</t>
  </si>
  <si>
    <t xml:space="preserve">Leiber Fernando Quevedo Macias</t>
  </si>
  <si>
    <t xml:space="preserve">leiber_qm@hotmail.com</t>
  </si>
  <si>
    <t xml:space="preserve">Raquel Luna</t>
  </si>
  <si>
    <t xml:space="preserve">gatita18luna@hotmail.com</t>
  </si>
  <si>
    <t xml:space="preserve">Felix Guerra</t>
  </si>
  <si>
    <t xml:space="preserve">felix-guerrachica@hotmail.com</t>
  </si>
  <si>
    <t xml:space="preserve">Carlitos Medrano</t>
  </si>
  <si>
    <t xml:space="preserve">carlitos_medrano@hotmail.com</t>
  </si>
  <si>
    <t xml:space="preserve">Xavier Aparicio</t>
  </si>
  <si>
    <t xml:space="preserve">xaviersteve007@hotmail.com</t>
  </si>
  <si>
    <t xml:space="preserve">Gregorio Gipson Saa Morante</t>
  </si>
  <si>
    <t xml:space="preserve">gsmgregoric_@hotmail.com</t>
  </si>
  <si>
    <t xml:space="preserve">Dayan Torres</t>
  </si>
  <si>
    <t xml:space="preserve">daynntorres19@gmail.com</t>
  </si>
  <si>
    <t xml:space="preserve">Ambar Yamilet Morla González</t>
  </si>
  <si>
    <t xml:space="preserve">yampi201389@gmail.com</t>
  </si>
  <si>
    <t xml:space="preserve">anyi_18</t>
  </si>
  <si>
    <t xml:space="preserve">allenmarva@hotmail.com</t>
  </si>
  <si>
    <t xml:space="preserve">Rocio Roman</t>
  </si>
  <si>
    <t xml:space="preserve">ruthroman15@hotmail.com</t>
  </si>
  <si>
    <t xml:space="preserve">Bryan Rochina</t>
  </si>
  <si>
    <t xml:space="preserve">bryan_jahill@hotmail.com</t>
  </si>
  <si>
    <t xml:space="preserve">Mery Perez</t>
  </si>
  <si>
    <t xml:space="preserve">perezsoriamary@hotmail.com</t>
  </si>
  <si>
    <t xml:space="preserve">carolina odalys salazar</t>
  </si>
  <si>
    <t xml:space="preserve">salazarodalys151@gmail.com</t>
  </si>
  <si>
    <t xml:space="preserve">ya se le habia brindado la informacion </t>
  </si>
  <si>
    <t xml:space="preserve">Elizabeth Rodriguez</t>
  </si>
  <si>
    <t xml:space="preserve">elizabeth1989mily@gmail.com</t>
  </si>
  <si>
    <t xml:space="preserve">solicito informacion por correo electronico</t>
  </si>
  <si>
    <t xml:space="preserve">Juan Roman Guerrero Aguirre</t>
  </si>
  <si>
    <t xml:space="preserve">jean_roman24@hotmail.com</t>
  </si>
  <si>
    <t xml:space="preserve">numero equivocado</t>
  </si>
  <si>
    <t xml:space="preserve">Mely Suarez</t>
  </si>
  <si>
    <t xml:space="preserve">suarezbelennn@gmail.com</t>
  </si>
  <si>
    <t xml:space="preserve">se le brindo informacion por llamada y lo pensara antes de tomar una decision</t>
  </si>
  <si>
    <t xml:space="preserve">Kevin Jaramillo</t>
  </si>
  <si>
    <t xml:space="preserve">moisesbriggith9@gmail.com</t>
  </si>
  <si>
    <t xml:space="preserve">Silvia Piloso</t>
  </si>
  <si>
    <t xml:space="preserve">piloso.bello.silvia@gmail.com</t>
  </si>
  <si>
    <t xml:space="preserve">se le brindo informacion por llamada lo pensara antes de tomar una decision</t>
  </si>
  <si>
    <t xml:space="preserve">Dalton Jeandrés Alvarado Araujo</t>
  </si>
  <si>
    <t xml:space="preserve">alvarado_dalton@outlook.com</t>
  </si>
  <si>
    <t xml:space="preserve">se le brindo informacion por llamada</t>
  </si>
  <si>
    <t xml:space="preserve">Damaris Arevalo Jimenez</t>
  </si>
  <si>
    <t xml:space="preserve">damaris2015lis@gmail.com</t>
  </si>
  <si>
    <t xml:space="preserve">Génesis Torres López</t>
  </si>
  <si>
    <t xml:space="preserve">danito.dt93@gmail.com</t>
  </si>
  <si>
    <t xml:space="preserve">Diana Carranza Bajaña</t>
  </si>
  <si>
    <t xml:space="preserve">ESC Sosa</t>
  </si>
  <si>
    <t xml:space="preserve">esc.sosa@gmail.com</t>
  </si>
  <si>
    <t xml:space="preserve">Jon Miguel Leon</t>
  </si>
  <si>
    <t xml:space="preserve">miguel-221988@hotmail.com</t>
  </si>
  <si>
    <t xml:space="preserve">David Montiel</t>
  </si>
  <si>
    <t xml:space="preserve">davidmontiel_94@hotmail.com</t>
  </si>
  <si>
    <t xml:space="preserve">Carolyn Bsc</t>
  </si>
  <si>
    <t xml:space="preserve">carolynsancan@gmail.com</t>
  </si>
  <si>
    <t xml:space="preserve">Natalia Escalante Jordan</t>
  </si>
  <si>
    <t xml:space="preserve">natali282601@hotmail.com</t>
  </si>
  <si>
    <t xml:space="preserve">se le brindo informacion y lo pensara antes de tomar una decision volver a llamar</t>
  </si>
  <si>
    <t xml:space="preserve">Leonela Caicedo</t>
  </si>
  <si>
    <t xml:space="preserve">leonela-caicedo@hotmail.com</t>
  </si>
  <si>
    <t xml:space="preserve">Jonathan Mora</t>
  </si>
  <si>
    <t xml:space="preserve">joespinoza2018@gmail.com</t>
  </si>
  <si>
    <t xml:space="preserve">leyda villafuerte</t>
  </si>
  <si>
    <t xml:space="preserve">flakitabella1993l@hotmail.com</t>
  </si>
  <si>
    <t xml:space="preserve">T WR</t>
  </si>
  <si>
    <t xml:space="preserve">wachito-86@hotmail.com</t>
  </si>
  <si>
    <t xml:space="preserve">Jorge Andres Arzube Zambrano</t>
  </si>
  <si>
    <t xml:space="preserve">jorgeandres_81@hotmail.com</t>
  </si>
  <si>
    <t xml:space="preserve">Liliana Zamora</t>
  </si>
  <si>
    <t xml:space="preserve">lilianazomoraberreiro@gmail.com</t>
  </si>
  <si>
    <t xml:space="preserve">Alexander Viteri</t>
  </si>
  <si>
    <t xml:space="preserve">viteriale@hotmail.com</t>
  </si>
  <si>
    <t xml:space="preserve">alex guerrero</t>
  </si>
  <si>
    <t xml:space="preserve">nancymarisela-1975@hotmail.com</t>
  </si>
  <si>
    <t xml:space="preserve">interesado en una beca se dirigira a la uteg</t>
  </si>
  <si>
    <t xml:space="preserve">Juan Carlos Carguachi Sasnalema</t>
  </si>
  <si>
    <t xml:space="preserve">juancarguachis@gmail.com</t>
  </si>
  <si>
    <t xml:space="preserve">Lenin Caranqui</t>
  </si>
  <si>
    <t xml:space="preserve">stalincp24@hotmail.com</t>
  </si>
  <si>
    <t xml:space="preserve">Daniel Lusquinos</t>
  </si>
  <si>
    <t xml:space="preserve">eduardomenendez0087@gmail.com</t>
  </si>
  <si>
    <t xml:space="preserve">Rene B. Hurtado</t>
  </si>
  <si>
    <t xml:space="preserve">renbermeo@hotmail.com</t>
  </si>
  <si>
    <t xml:space="preserve">José William Copara Teca</t>
  </si>
  <si>
    <t xml:space="preserve">jwct77@hotmail.com</t>
  </si>
  <si>
    <t xml:space="preserve">Roberto Tello Muñoz</t>
  </si>
  <si>
    <t xml:space="preserve">rtello_29@hotmail.com</t>
  </si>
  <si>
    <t xml:space="preserve">Angie Aldaz</t>
  </si>
  <si>
    <t xml:space="preserve">angiealdaz@outlook.es</t>
  </si>
  <si>
    <t xml:space="preserve">Zully Pozo</t>
  </si>
  <si>
    <t xml:space="preserve">zullymargoth@hotmail.com</t>
  </si>
  <si>
    <t xml:space="preserve">Ingrid Olvera</t>
  </si>
  <si>
    <t xml:space="preserve">ingridmaribell@hotmail.com</t>
  </si>
  <si>
    <t xml:space="preserve">Erick Delgado</t>
  </si>
  <si>
    <t xml:space="preserve">erickyandel9@gmail.com</t>
  </si>
  <si>
    <t xml:space="preserve">Leonardo Regalado</t>
  </si>
  <si>
    <t xml:space="preserve">leo45016@hotmail.com</t>
  </si>
  <si>
    <t xml:space="preserve">Alex YU</t>
  </si>
  <si>
    <t xml:space="preserve">alexy912010@hotmail.es</t>
  </si>
  <si>
    <t xml:space="preserve">Diego Yazaca Sisa</t>
  </si>
  <si>
    <t xml:space="preserve">stajodido@hotmail.es</t>
  </si>
  <si>
    <t xml:space="preserve">Belen Muñoz</t>
  </si>
  <si>
    <t xml:space="preserve">belenest_20@yahoo.es</t>
  </si>
  <si>
    <t xml:space="preserve">Ruben Junior</t>
  </si>
  <si>
    <t xml:space="preserve">rj2009-ruben@hotmail.es</t>
  </si>
  <si>
    <t xml:space="preserve">Alvaro Torres</t>
  </si>
  <si>
    <t xml:space="preserve">Alvarotorres725@gmail.com</t>
  </si>
  <si>
    <t xml:space="preserve">Ana Maria Chiriguay Pachay</t>
  </si>
  <si>
    <t xml:space="preserve">anitachiriguay@gmail.com</t>
  </si>
  <si>
    <t xml:space="preserve">Scarito Danilo Papucho</t>
  </si>
  <si>
    <t xml:space="preserve">sacrg1983@gmail.com</t>
  </si>
  <si>
    <t xml:space="preserve">José Vélez</t>
  </si>
  <si>
    <t xml:space="preserve">ronaldovelez1998@gmail.com</t>
  </si>
  <si>
    <t xml:space="preserve">Valerya Salinas</t>
  </si>
  <si>
    <t xml:space="preserve">valeriasalinas260@gmail.com</t>
  </si>
  <si>
    <t xml:space="preserve">Willy Diaz Rubio</t>
  </si>
  <si>
    <t xml:space="preserve">farma_william@hotmail.com</t>
  </si>
  <si>
    <t xml:space="preserve">evelyn mora</t>
  </si>
  <si>
    <t xml:space="preserve">Mariu Vega</t>
  </si>
  <si>
    <t xml:space="preserve">mvega1980@hotmail.com</t>
  </si>
  <si>
    <t xml:space="preserve">Kevin ML</t>
  </si>
  <si>
    <t xml:space="preserve">kevin_moreira666@hotmail.com</t>
  </si>
  <si>
    <t xml:space="preserve">Stephany Carolina Coronel</t>
  </si>
  <si>
    <t xml:space="preserve">karolinacoronel22@gmail.com</t>
  </si>
  <si>
    <t xml:space="preserve">Carlos Zambrano R</t>
  </si>
  <si>
    <t xml:space="preserve">charlie_zam_ruiz@yahoo.com</t>
  </si>
  <si>
    <t xml:space="preserve">Sully Estefania Perez Navarrete</t>
  </si>
  <si>
    <t xml:space="preserve">sully_estefania@hotmail.com</t>
  </si>
  <si>
    <t xml:space="preserve">solicito informacion por correo electronico sobre los costos de las maestrias</t>
  </si>
  <si>
    <t xml:space="preserve">Flor Elizabeth Nivicela Andrade</t>
  </si>
  <si>
    <t xml:space="preserve">flornivi@gmail.com</t>
  </si>
  <si>
    <t xml:space="preserve">se le brinda informacion por llamada y esta interesada en carrera de grado lo pensara antes de tomar una decision</t>
  </si>
  <si>
    <t xml:space="preserve">Wendy Rossana Fariño</t>
  </si>
  <si>
    <t xml:space="preserve">jairya_24@hotmail.com</t>
  </si>
  <si>
    <t xml:space="preserve">Danilo Ramirez</t>
  </si>
  <si>
    <t xml:space="preserve">rwdanilo16@hotmail.com</t>
  </si>
  <si>
    <t xml:space="preserve">se le brinda informacion por llamada visitara la uteg</t>
  </si>
  <si>
    <t xml:space="preserve">Marita Alava</t>
  </si>
  <si>
    <t xml:space="preserve">maritadeulloa@hotmail.com</t>
  </si>
  <si>
    <t xml:space="preserve">Erick Rios Gomez</t>
  </si>
  <si>
    <t xml:space="preserve">eriosgomez4@gmail.com</t>
  </si>
  <si>
    <t xml:space="preserve">Belen Rosas Cevallos</t>
  </si>
  <si>
    <t xml:space="preserve">mbrc_15@hotmail.com</t>
  </si>
  <si>
    <t xml:space="preserve">Mary de Lourdes</t>
  </si>
  <si>
    <t xml:space="preserve">malu-28@hotmail.com</t>
  </si>
  <si>
    <t xml:space="preserve">josejoseperea@jotmail.com</t>
  </si>
  <si>
    <t xml:space="preserve">mensaje a tercero se encuentra de viaje </t>
  </si>
  <si>
    <t xml:space="preserve">Karina Vera</t>
  </si>
  <si>
    <t xml:space="preserve">medison1980@hotmail.com</t>
  </si>
  <si>
    <t xml:space="preserve">se le brindo informacion por correo electronico</t>
  </si>
  <si>
    <t xml:space="preserve">Patricia Castro</t>
  </si>
  <si>
    <t xml:space="preserve">patricia_Castro02@hotmail .com</t>
  </si>
  <si>
    <t xml:space="preserve">Mireyi Rosado</t>
  </si>
  <si>
    <t xml:space="preserve">mireyi-rosado@hotmail.com</t>
  </si>
  <si>
    <t xml:space="preserve">se le brindo informacion por correo electronico </t>
  </si>
  <si>
    <t xml:space="preserve">Eliana Liam</t>
  </si>
  <si>
    <t xml:space="preserve">eliana14bsc@gmail.com</t>
  </si>
  <si>
    <t xml:space="preserve">Anahi Veliz</t>
  </si>
  <si>
    <t xml:space="preserve">Yuleidy-1498@hotmail.com</t>
  </si>
  <si>
    <t xml:space="preserve">Kevin Cruz</t>
  </si>
  <si>
    <t xml:space="preserve">kevinjaviercruz@hotmail.com</t>
  </si>
  <si>
    <t xml:space="preserve">Jennifer Salazar Suarez</t>
  </si>
  <si>
    <t xml:space="preserve">gabriela_suarez22@hotmail.es</t>
  </si>
  <si>
    <t xml:space="preserve">Wenfer Loor</t>
  </si>
  <si>
    <t xml:space="preserve">wloor1707@hotmail.com</t>
  </si>
  <si>
    <t xml:space="preserve">Gardenia Lupita Sanchez</t>
  </si>
  <si>
    <t xml:space="preserve">Liseth Moreta</t>
  </si>
  <si>
    <t xml:space="preserve">rodrigo100.hot@gmail.com</t>
  </si>
  <si>
    <t xml:space="preserve">Cristhian Ortiz Quintero</t>
  </si>
  <si>
    <t xml:space="preserve">fortizq1994@gmail.con</t>
  </si>
  <si>
    <t xml:space="preserve">Manuel Sislema</t>
  </si>
  <si>
    <t xml:space="preserve">sislemamanuel2015@mail.com</t>
  </si>
  <si>
    <t xml:space="preserve">Erika Leon</t>
  </si>
  <si>
    <t xml:space="preserve">erika07101321@gmail.com</t>
  </si>
  <si>
    <t xml:space="preserve">Lilibeth Rodriguez</t>
  </si>
  <si>
    <t xml:space="preserve">Lilibeth_1994_@hotmail.com</t>
  </si>
  <si>
    <t xml:space="preserve">Jazmin Quitio</t>
  </si>
  <si>
    <t xml:space="preserve">Jazmin-quitio@hotmail.com</t>
  </si>
  <si>
    <t xml:space="preserve">Jarixa Vera</t>
  </si>
  <si>
    <t xml:space="preserve">jarixavece@hotmail.com</t>
  </si>
  <si>
    <t xml:space="preserve">Alex Anchundia</t>
  </si>
  <si>
    <t xml:space="preserve">alex_anchundia@hotmail.com</t>
  </si>
  <si>
    <t xml:space="preserve">indica asistir directamente a la universidad </t>
  </si>
  <si>
    <t xml:space="preserve">Nohelia Zambran</t>
  </si>
  <si>
    <t xml:space="preserve">zambrano12nf@gmail.com</t>
  </si>
  <si>
    <t xml:space="preserve">Cristina Gabriela Espinoza</t>
  </si>
  <si>
    <t xml:space="preserve">domealeja0306@gmail.com</t>
  </si>
  <si>
    <t xml:space="preserve">Cristhian Desiderio</t>
  </si>
  <si>
    <t xml:space="preserve">c.desideriovergara1953@hotmail.com</t>
  </si>
  <si>
    <t xml:space="preserve">Mariana Cordero</t>
  </si>
  <si>
    <t xml:space="preserve">wwwgatos848@gmail.com</t>
  </si>
  <si>
    <t xml:space="preserve">tercero indica que la vuelvan a llamar ya que no se encontraba en el momento</t>
  </si>
  <si>
    <t xml:space="preserve">Joha A Aguilar</t>
  </si>
  <si>
    <t xml:space="preserve">joa_agui_e@hotmail.com</t>
  </si>
  <si>
    <t xml:space="preserve">JC Junior Cungachi</t>
  </si>
  <si>
    <t xml:space="preserve">jcjunior_10@hotmail.com</t>
  </si>
  <si>
    <t xml:space="preserve">descartado numero equivocado</t>
  </si>
  <si>
    <t xml:space="preserve">Suggeidy Reyes EV</t>
  </si>
  <si>
    <t xml:space="preserve">sugereyes93@hotmail.com</t>
  </si>
  <si>
    <t xml:space="preserve">jaime lopez</t>
  </si>
  <si>
    <t xml:space="preserve">locojaime123@hotmail.com</t>
  </si>
  <si>
    <t xml:space="preserve">stefania Aurea De La Rosa</t>
  </si>
  <si>
    <t xml:space="preserve">te_importo@hotmail.com</t>
  </si>
  <si>
    <t xml:space="preserve">usuaria indica que la vuelvan a llamar que se encontraba ocupada </t>
  </si>
  <si>
    <t xml:space="preserve">Fernanda Barrios Castro Cse</t>
  </si>
  <si>
    <t xml:space="preserve">barrioscastromariaf26@gmail.com</t>
  </si>
  <si>
    <t xml:space="preserve">se brinda asesoría y se envía correo </t>
  </si>
  <si>
    <t xml:space="preserve">Wilson Cedillo</t>
  </si>
  <si>
    <t xml:space="preserve">wiloremix@hotmail.com</t>
  </si>
  <si>
    <t xml:space="preserve">se brinda informacion , usuario indica que se estará contando con nosotros ya que necesita estudiar la propuesta por sus horarios de trabajo</t>
  </si>
  <si>
    <t xml:space="preserve">Melissa Reyes</t>
  </si>
  <si>
    <t xml:space="preserve">volver a llamar , se encontraba ocupada </t>
  </si>
  <si>
    <t xml:space="preserve">Jaime fernando Cabrera baldeon</t>
  </si>
  <si>
    <t xml:space="preserve">barcelona_jcb@hotmail.com</t>
  </si>
  <si>
    <t xml:space="preserve">descartado , contesta y cuelga al momento </t>
  </si>
  <si>
    <t xml:space="preserve">Samuel Serchaj</t>
  </si>
  <si>
    <t xml:space="preserve">saserchaj@hotmail.com</t>
  </si>
  <si>
    <t xml:space="preserve">se brinda informacion y se envia correo con informacion de homologacion</t>
  </si>
  <si>
    <t xml:space="preserve">Norma Ayala</t>
  </si>
  <si>
    <t xml:space="preserve">judith13272009@hotmail.com</t>
  </si>
  <si>
    <t xml:space="preserve">se envia informacion al correo </t>
  </si>
  <si>
    <t xml:space="preserve">Juleisy Flakita de Leones</t>
  </si>
  <si>
    <t xml:space="preserve">yulexisanchez@hotmail.com</t>
  </si>
  <si>
    <t xml:space="preserve">Jenny Guzman⚽😍</t>
  </si>
  <si>
    <t xml:space="preserve">guzmanjenny70@gmail.com</t>
  </si>
  <si>
    <t xml:space="preserve">Raquel Yagual</t>
  </si>
  <si>
    <t xml:space="preserve">raquel-yagual_18@hotmail.com</t>
  </si>
  <si>
    <t xml:space="preserve">Ariiana Intriago</t>
  </si>
  <si>
    <t xml:space="preserve">ariana0895@gmail.com</t>
  </si>
  <si>
    <t xml:space="preserve">se brinda informacion , usuaria indica que no desea ingresar todavía que se estará contactando con nosotros</t>
  </si>
  <si>
    <t xml:space="preserve">Carlos Guillermo Baque Garcia</t>
  </si>
  <si>
    <t xml:space="preserve">carlobaque2000@hotmail.com</t>
  </si>
  <si>
    <t xml:space="preserve">tercero indica que lo llamemos en dos dias ya que se encuentra de viaje </t>
  </si>
  <si>
    <t xml:space="preserve">Lilian Segura</t>
  </si>
  <si>
    <t xml:space="preserve">lilian.segura13@gmail.com</t>
  </si>
  <si>
    <t xml:space="preserve">Bryan Veliz</t>
  </si>
  <si>
    <t xml:space="preserve">bryanvelizvera@gmail.com</t>
  </si>
  <si>
    <t xml:space="preserve">María Almea Córdova</t>
  </si>
  <si>
    <t xml:space="preserve">zoilamaria_92@hotmail.com</t>
  </si>
  <si>
    <t xml:space="preserve">Ariel Parraga Gendez</t>
  </si>
  <si>
    <t xml:space="preserve">edisonparragagendez@gmail.com</t>
  </si>
  <si>
    <t xml:space="preserve">Cynthia Lisette Dominguez Marmolejo</t>
  </si>
  <si>
    <t xml:space="preserve">cynthialisdominguez@gmail.com</t>
  </si>
  <si>
    <t xml:space="preserve">Brillith stefania Mosquera briones</t>
  </si>
  <si>
    <t xml:space="preserve">brillithmosquera7@gmail.com</t>
  </si>
  <si>
    <t xml:space="preserve">Jose Luis Troya</t>
  </si>
  <si>
    <t xml:space="preserve">troyaverajoseluis@gmail.com</t>
  </si>
  <si>
    <t xml:space="preserve">Jorge Cassagne Veintimilla</t>
  </si>
  <si>
    <t xml:space="preserve">jorcass2002@hotmail.com</t>
  </si>
  <si>
    <t xml:space="preserve">Leonardo Yuri Garcia Barcia</t>
  </si>
  <si>
    <t xml:space="preserve">yurigar2405@hotmail.com</t>
  </si>
  <si>
    <t xml:space="preserve">se brinda asesoría de la licenciatura , usuaria indica que va con su hija directamente ala uteg</t>
  </si>
  <si>
    <t xml:space="preserve">Xiomy Piny</t>
  </si>
  <si>
    <t xml:space="preserve">karypincay@gmail.com</t>
  </si>
  <si>
    <t xml:space="preserve">Solange Dayana</t>
  </si>
  <si>
    <t xml:space="preserve">dayanatumbaco1997@gmail.com</t>
  </si>
  <si>
    <t xml:space="preserve">se brinda informacion y se envia informacion al correo </t>
  </si>
  <si>
    <t xml:space="preserve">Stalyn Bonilla</t>
  </si>
  <si>
    <t xml:space="preserve">stalyn_bonilla_1996@hotmail.com</t>
  </si>
  <si>
    <t xml:space="preserve">se brinda asesoria y se envia correo</t>
  </si>
  <si>
    <t xml:space="preserve">Jahi Teran Zambrano</t>
  </si>
  <si>
    <t xml:space="preserve">jahilove.08tezam@gmail.com</t>
  </si>
  <si>
    <t xml:space="preserve">volver a llamar , se encontraba ocupada en el momento</t>
  </si>
  <si>
    <t xml:space="preserve">Xiomara</t>
  </si>
  <si>
    <t xml:space="preserve">xiomyta_91@hotmail.com</t>
  </si>
  <si>
    <t xml:space="preserve">Aluminios Medrano</t>
  </si>
  <si>
    <t xml:space="preserve">michaelmedrano1994@gmail.com</t>
  </si>
  <si>
    <t xml:space="preserve">Selene Abad Cedeño</t>
  </si>
  <si>
    <t xml:space="preserve">thegirlsnice_25@hotmail.com</t>
  </si>
  <si>
    <t xml:space="preserve">Isaias Burgos</t>
  </si>
  <si>
    <t xml:space="preserve">burgoseddie744@gmail.com</t>
  </si>
  <si>
    <t xml:space="preserve">usuario indica que va ala Uteg el dia 04/02/19 para que le brinden toda la asesoria</t>
  </si>
  <si>
    <t xml:space="preserve">Rommy Maria Luisa Jimenez Correa</t>
  </si>
  <si>
    <t xml:space="preserve">rommyjimenez@hotmail.es</t>
  </si>
  <si>
    <t xml:space="preserve">Lilibeth Malta</t>
  </si>
  <si>
    <t xml:space="preserve">victorrada1985@hotmail.com</t>
  </si>
  <si>
    <t xml:space="preserve">Wilmer Asencio</t>
  </si>
  <si>
    <t xml:space="preserve">wilmer_16wag@hotmail.com</t>
  </si>
  <si>
    <t xml:space="preserve">Roxana Torres</t>
  </si>
  <si>
    <t xml:space="preserve">roxanalorena99@gmail.com</t>
  </si>
  <si>
    <t xml:space="preserve">Hector Alejandro Aragundi Ortiz</t>
  </si>
  <si>
    <t xml:space="preserve">hectoraragundi1990@hotmail.com</t>
  </si>
  <si>
    <t xml:space="preserve">Javier Loor Zambrano</t>
  </si>
  <si>
    <t xml:space="preserve">javier86loor@hotmail.com</t>
  </si>
  <si>
    <t xml:space="preserve">Michelle Cajamarca</t>
  </si>
  <si>
    <t xml:space="preserve">mishi_27_2000@hotmail.com</t>
  </si>
  <si>
    <t xml:space="preserve">se brinda asesoría nuevamente y se envia correo </t>
  </si>
  <si>
    <t xml:space="preserve">Jennixita Mejillones</t>
  </si>
  <si>
    <t xml:space="preserve">jenniffer-mejillones@hotmail.com</t>
  </si>
  <si>
    <t xml:space="preserve">Priscila America Litardo Troya</t>
  </si>
  <si>
    <t xml:space="preserve">priscila_litardo_88@hotmail.es</t>
  </si>
  <si>
    <t xml:space="preserve">tercero indica que la llamen las 6:oo pm que sale de trabajar</t>
  </si>
  <si>
    <t xml:space="preserve">joseluis20@live.com.ar</t>
  </si>
  <si>
    <t xml:space="preserve">Ashly Osiris Vielma Lopez</t>
  </si>
  <si>
    <t xml:space="preserve">ashlyosiristeamo@gmail.com</t>
  </si>
  <si>
    <t xml:space="preserve">usuaria contesta y al empezar a brindar la informacion cuelga , se realiza segunda llamada y no contesta </t>
  </si>
  <si>
    <t xml:space="preserve">Gissella Orrala de Vite</t>
  </si>
  <si>
    <t xml:space="preserve">gorrala1997@hotmail.com</t>
  </si>
  <si>
    <t xml:space="preserve">tercero indica que no se encontraba en el momento , se envía correo con informacion</t>
  </si>
  <si>
    <t xml:space="preserve">Gustavo Ruben Herrera Vera</t>
  </si>
  <si>
    <t xml:space="preserve">gustavoherreravera@gmail.com</t>
  </si>
  <si>
    <t xml:space="preserve">Karina Franco Velez</t>
  </si>
  <si>
    <t xml:space="preserve">franco-karina88@hotmail.com</t>
  </si>
  <si>
    <t xml:space="preserve">Verito Lis</t>
  </si>
  <si>
    <t xml:space="preserve">verito_2528_tequelo@hotmail.com</t>
  </si>
  <si>
    <t xml:space="preserve">Zuly Estefania</t>
  </si>
  <si>
    <t xml:space="preserve">zulayarias12@gmail.com</t>
  </si>
  <si>
    <t xml:space="preserve">usuaria indica que le envié la informacion a su correo que en el momento estaba muy ocupada , se envía correo </t>
  </si>
  <si>
    <t xml:space="preserve">Jazmin Quitio Yc</t>
  </si>
  <si>
    <t xml:space="preserve">jazmin-quitio@hotmail.com</t>
  </si>
  <si>
    <t xml:space="preserve">se brinda informacion ,usuaria indica va ala Uteg</t>
  </si>
  <si>
    <t xml:space="preserve">lilibeth_1994_@hotmail.com</t>
  </si>
  <si>
    <t xml:space="preserve">PAOLA PERERO</t>
  </si>
  <si>
    <t xml:space="preserve">aniley17@hotmail.es</t>
  </si>
  <si>
    <t xml:space="preserve">Ana Cabanilla</t>
  </si>
  <si>
    <t xml:space="preserve">pinky_ana@live.com</t>
  </si>
  <si>
    <t xml:space="preserve">Rosalia Estefania</t>
  </si>
  <si>
    <t xml:space="preserve">rosaliaparrales@hotmail.com</t>
  </si>
  <si>
    <t xml:space="preserve">se brinda asesoría ,se envia correo con informacion</t>
  </si>
  <si>
    <t xml:space="preserve">Liss Lopez de Benites</t>
  </si>
  <si>
    <t xml:space="preserve">lissta3008@outlook.com</t>
  </si>
  <si>
    <t xml:space="preserve">Eduardo Carbo Mera</t>
  </si>
  <si>
    <t xml:space="preserve">jhonnycarbo94@gmail.com</t>
  </si>
  <si>
    <t xml:space="preserve">Johanna Villegas</t>
  </si>
  <si>
    <t xml:space="preserve">johi2450@hotmail.com</t>
  </si>
  <si>
    <t xml:space="preserve">Johanna Jeakira Bazurto Burgos</t>
  </si>
  <si>
    <t xml:space="preserve">joha.kira@hotmail.com</t>
  </si>
  <si>
    <t xml:space="preserve">Diego Calderon</t>
  </si>
  <si>
    <t xml:space="preserve">dacz@outlook.es</t>
  </si>
  <si>
    <t xml:space="preserve">Josue Merchan</t>
  </si>
  <si>
    <t xml:space="preserve">josuemer04-@hotmail.com</t>
  </si>
  <si>
    <t xml:space="preserve">Katty Zavala</t>
  </si>
  <si>
    <t xml:space="preserve">kattyzavala84@gmail.com</t>
  </si>
  <si>
    <t xml:space="preserve">se brinda asesoría , usuaria indica que va ala Uteg para hacer todo el proceso directamente </t>
  </si>
  <si>
    <t xml:space="preserve">Michelle Patiño Morán</t>
  </si>
  <si>
    <t xml:space="preserve">michellemoranpatino@gmail.com</t>
  </si>
  <si>
    <t xml:space="preserve">Rudip Pilay</t>
  </si>
  <si>
    <t xml:space="preserve">jnrudip85@hotmail.com</t>
  </si>
  <si>
    <t xml:space="preserve">En el momento esta interesado en la ingeniería pero  a distancia </t>
  </si>
  <si>
    <t xml:space="preserve">Katty Eug</t>
  </si>
  <si>
    <t xml:space="preserve">Qp M Naty</t>
  </si>
  <si>
    <t xml:space="preserve">Andres Torres</t>
  </si>
  <si>
    <t xml:space="preserve">and_res_8@hotmail.com</t>
  </si>
  <si>
    <t xml:space="preserve">BUZON DE VOZ </t>
  </si>
  <si>
    <t xml:space="preserve">Maria Tenesaca</t>
  </si>
  <si>
    <t xml:space="preserve">usuaria indica que la vuelvan a llamar el dia 04/02/19</t>
  </si>
  <si>
    <t xml:space="preserve">Jhosseline Quiñónez</t>
  </si>
  <si>
    <t xml:space="preserve">usuaria indica que ya le habían brindado informacion, va ala Uteg </t>
  </si>
  <si>
    <t xml:space="preserve">Patricio puentes</t>
  </si>
  <si>
    <t xml:space="preserve">ppauente101@gmail.com</t>
  </si>
  <si>
    <t xml:space="preserve">Jean Salvatierra Mera</t>
  </si>
  <si>
    <t xml:space="preserve">Jeancarsalme.jcsm.jcsm@gmail.com</t>
  </si>
  <si>
    <t xml:space="preserve">Jose Miguel Llanos Ruiz</t>
  </si>
  <si>
    <t xml:space="preserve">casa102009@gmail.com</t>
  </si>
  <si>
    <t xml:space="preserve">Erick Alexander Baquedano Vanegas</t>
  </si>
  <si>
    <t xml:space="preserve">pollo_07alex@hotmail.com</t>
  </si>
  <si>
    <t xml:space="preserve">usuario indica que lo vuelvan a llamar 02/02/19 alas 12:00 </t>
  </si>
  <si>
    <t xml:space="preserve">Alejandra Saltos</t>
  </si>
  <si>
    <t xml:space="preserve">monydani_04@hotmail.com</t>
  </si>
  <si>
    <t xml:space="preserve">Paola Jacome</t>
  </si>
  <si>
    <t xml:space="preserve">paoli2501@hotmail.com</t>
  </si>
  <si>
    <t xml:space="preserve">Carolina Rodriguez</t>
  </si>
  <si>
    <t xml:space="preserve">caroeli25@yahoo.com</t>
  </si>
  <si>
    <t xml:space="preserve">Eli Yireth Moreira Jaramillo</t>
  </si>
  <si>
    <t xml:space="preserve">eliyireth.moreira.19@hotmail.es</t>
  </si>
  <si>
    <t xml:space="preserve">se brinda asesoría y se envia correo </t>
  </si>
  <si>
    <t xml:space="preserve">Karina Urquizo Mendoza</t>
  </si>
  <si>
    <t xml:space="preserve">rorro_9020010@yahoo.es</t>
  </si>
  <si>
    <t xml:space="preserve">se brinda informacion ,usuaria indica que no se encuentra interesada por el momento </t>
  </si>
  <si>
    <t xml:space="preserve">Lenin Vinicio Torres Ortiz</t>
  </si>
  <si>
    <t xml:space="preserve">lenin_251986@hotmail.com</t>
  </si>
  <si>
    <t xml:space="preserve">Se asesora y se envía información al WhatsApp </t>
  </si>
  <si>
    <t xml:space="preserve">Martha Tatiana Flores Cevallos</t>
  </si>
  <si>
    <t xml:space="preserve">tatianaflores2906@hotmail.com</t>
  </si>
  <si>
    <t xml:space="preserve">Omar Leiva</t>
  </si>
  <si>
    <t xml:space="preserve">etskuni-ol@hotmail.com</t>
  </si>
  <si>
    <t xml:space="preserve">Lenin Baño</t>
  </si>
  <si>
    <t xml:space="preserve">lpadarlen@me.com</t>
  </si>
  <si>
    <t xml:space="preserve">Estaba almorzando, se agenda nueva llamada</t>
  </si>
  <si>
    <t xml:space="preserve">Verito Vintimilla</t>
  </si>
  <si>
    <t xml:space="preserve">isbelita.55@hotmail.com</t>
  </si>
  <si>
    <t xml:space="preserve">Se asesora y se agenda una llamada </t>
  </si>
  <si>
    <t xml:space="preserve">Angela Bbriones Mero</t>
  </si>
  <si>
    <t xml:space="preserve">angelaabdon30@gmail.com</t>
  </si>
  <si>
    <t xml:space="preserve">Katyta Parra</t>
  </si>
  <si>
    <t xml:space="preserve">kaprincess15@hotmail.com</t>
  </si>
  <si>
    <t xml:space="preserve">Byron Cochea</t>
  </si>
  <si>
    <t xml:space="preserve">byronestalin1997@gmail.com</t>
  </si>
  <si>
    <t xml:space="preserve">Wilmer Muela Salguero</t>
  </si>
  <si>
    <t xml:space="preserve">w.muelasalguero@gmail.com</t>
  </si>
  <si>
    <t xml:space="preserve">Abraham Huashpa</t>
  </si>
  <si>
    <t xml:space="preserve">huashpa1995@gmail.com</t>
  </si>
  <si>
    <t xml:space="preserve">Rosalia Pauta</t>
  </si>
  <si>
    <t xml:space="preserve">china-19791@hotmail.com</t>
  </si>
  <si>
    <t xml:space="preserve">Diego Benavides</t>
  </si>
  <si>
    <t xml:space="preserve">dieg_ben22@hotmail.com</t>
  </si>
  <si>
    <t xml:space="preserve">Byron Tintin Valarezo</t>
  </si>
  <si>
    <t xml:space="preserve">byron08122012@hotmail.com</t>
  </si>
  <si>
    <t xml:space="preserve">Alex Sinchiguano</t>
  </si>
  <si>
    <t xml:space="preserve">alexdj92@hotmail.cl</t>
  </si>
  <si>
    <t xml:space="preserve">Martha Hilda Allauca Saygua</t>
  </si>
  <si>
    <t xml:space="preserve">marthahildaallauca@gmail.com</t>
  </si>
  <si>
    <t xml:space="preserve">Numero suspendido</t>
  </si>
  <si>
    <t xml:space="preserve">Mony Cunguán</t>
  </si>
  <si>
    <t xml:space="preserve">monycn2009@hotmail.com</t>
  </si>
  <si>
    <t xml:space="preserve">Ceci Nieto</t>
  </si>
  <si>
    <t xml:space="preserve">marcecini023@gmail.com</t>
  </si>
  <si>
    <t xml:space="preserve">Se asesora y se agenda nueva llamada para seguir dando información </t>
  </si>
  <si>
    <t xml:space="preserve">Michel Vera Magallanes</t>
  </si>
  <si>
    <t xml:space="preserve">anmivera22@gmail.com</t>
  </si>
  <si>
    <t xml:space="preserve">Danny Triviño Cusme</t>
  </si>
  <si>
    <t xml:space="preserve">danny838@hotmail.com</t>
  </si>
  <si>
    <t xml:space="preserve">Karen Paredes</t>
  </si>
  <si>
    <t xml:space="preserve">karen_liss92@hotmail.com</t>
  </si>
  <si>
    <t xml:space="preserve">Michelle Vinces Vizuete</t>
  </si>
  <si>
    <t xml:space="preserve">michelle102823@gmail.com</t>
  </si>
  <si>
    <t xml:space="preserve">Luci Aguirre</t>
  </si>
  <si>
    <t xml:space="preserve">lucylinda1@hotmail.es</t>
  </si>
  <si>
    <t xml:space="preserve">tiene una tecnología pero de gastronomía, indica no estar interesada en la licenciatura </t>
  </si>
  <si>
    <t xml:space="preserve">Kty Vera</t>
  </si>
  <si>
    <t xml:space="preserve">katita-192@hotmail.com</t>
  </si>
  <si>
    <t xml:space="preserve">Andrea del pozo</t>
  </si>
  <si>
    <t xml:space="preserve">andreadelpozogaray1@gmail.com</t>
  </si>
  <si>
    <t xml:space="preserve">Ginger Jaen</t>
  </si>
  <si>
    <t xml:space="preserve">Ginger-jaen@hotmail.com</t>
  </si>
  <si>
    <t xml:space="preserve">Se asesora, se agenda nueva llamada para ver que ha pensado </t>
  </si>
  <si>
    <t xml:space="preserve">Xavier Cedeño</t>
  </si>
  <si>
    <t xml:space="preserve">Xavi.98.k.u@gmail.com</t>
  </si>
  <si>
    <t xml:space="preserve">Erwin Romero</t>
  </si>
  <si>
    <t xml:space="preserve">erwinromeromata10@gmail.com</t>
  </si>
  <si>
    <t xml:space="preserve">usuario indica que lo llamen nuevamente en el horario de las 08:00 pm</t>
  </si>
  <si>
    <t xml:space="preserve">Nayeli Canales</t>
  </si>
  <si>
    <t xml:space="preserve">Emili Calderon Bruque</t>
  </si>
  <si>
    <t xml:space="preserve">e.mili.03@hotmail.com</t>
  </si>
  <si>
    <t xml:space="preserve">Jenny María Vivas Cantos</t>
  </si>
  <si>
    <t xml:space="preserve">jennyvivascantos@hotmail.com</t>
  </si>
  <si>
    <t xml:space="preserve">se le brindo informacion por correo electronico ya que no posee numero de tlf</t>
  </si>
  <si>
    <t xml:space="preserve">Tatiana Giraldo Arce</t>
  </si>
  <si>
    <t xml:space="preserve">tgiraldo87@gmail.com</t>
  </si>
  <si>
    <t xml:space="preserve">Blanca Ron</t>
  </si>
  <si>
    <t xml:space="preserve">blancaron@hotmail.com</t>
  </si>
  <si>
    <t xml:space="preserve">Ruth Sarango</t>
  </si>
  <si>
    <t xml:space="preserve">natalysarango@gmail.com</t>
  </si>
  <si>
    <t xml:space="preserve">Odalys Bastidas</t>
  </si>
  <si>
    <t xml:space="preserve">odalys-bastidas@hotmail.com</t>
  </si>
  <si>
    <t xml:space="preserve">Liseth Macías</t>
  </si>
  <si>
    <t xml:space="preserve">maryrosa-21@hotmail.com</t>
  </si>
  <si>
    <t xml:space="preserve">Patricia Prado Echavarria</t>
  </si>
  <si>
    <t xml:space="preserve">dianaprado803@yahoo.com</t>
  </si>
  <si>
    <t xml:space="preserve">Estaba fuera de casa, se agenda nueva llamada </t>
  </si>
  <si>
    <t xml:space="preserve">David Luiz</t>
  </si>
  <si>
    <t xml:space="preserve">nagualuis2015@gmail.com</t>
  </si>
  <si>
    <t xml:space="preserve">Indica que no desea tomar la carrera por que vive lejos de la universidad y no se interesa en carreras online </t>
  </si>
  <si>
    <t xml:space="preserve">Jd Diana Loor</t>
  </si>
  <si>
    <t xml:space="preserve">tubebe_c_@hotmail.com</t>
  </si>
  <si>
    <t xml:space="preserve">Jonathan Ortiz</t>
  </si>
  <si>
    <t xml:space="preserve">ariesc1995@gmail.com</t>
  </si>
  <si>
    <t xml:space="preserve">Andrea Casallas</t>
  </si>
  <si>
    <t xml:space="preserve">alcv0615@hotmail.com</t>
  </si>
  <si>
    <t xml:space="preserve">Diana Carolina Vargas Chiriboga</t>
  </si>
  <si>
    <t xml:space="preserve">dianivargas_89@hotmail.com</t>
  </si>
  <si>
    <t xml:space="preserve">Estaba ocupada, se agenda nueva llamada para dar asesoría </t>
  </si>
  <si>
    <t xml:space="preserve">Yuli Elizabeth Nazareno Nazareno</t>
  </si>
  <si>
    <t xml:space="preserve">yulinaza_19@hotmail.com</t>
  </si>
  <si>
    <t xml:space="preserve">Gabriel Alava Bsc</t>
  </si>
  <si>
    <t xml:space="preserve">alavadanny60@gmail.com</t>
  </si>
  <si>
    <t xml:space="preserve">MaRu Barreto</t>
  </si>
  <si>
    <t xml:space="preserve">mariuxi_dinda@hotmail.com</t>
  </si>
  <si>
    <t xml:space="preserve">Roxana Pico</t>
  </si>
  <si>
    <t xml:space="preserve">roxy.pico69@gmail.com</t>
  </si>
  <si>
    <t xml:space="preserve">Lisbeth Flores</t>
  </si>
  <si>
    <t xml:space="preserve">lisbeth_bonita12@hotmail.com</t>
  </si>
  <si>
    <t xml:space="preserve">Numero errado </t>
  </si>
  <si>
    <t xml:space="preserve">Emily Granados</t>
  </si>
  <si>
    <t xml:space="preserve">emilygranados-230190@hotmail.com</t>
  </si>
  <si>
    <t xml:space="preserve">Maryorie Cangá Cruz</t>
  </si>
  <si>
    <t xml:space="preserve">maryorie410@hotmail.com</t>
  </si>
  <si>
    <t xml:space="preserve">Indica no haber registrado en ningún momento los datos </t>
  </si>
  <si>
    <t xml:space="preserve">walter ortega lara</t>
  </si>
  <si>
    <t xml:space="preserve">ortegalarawalter@gmail.com</t>
  </si>
  <si>
    <t xml:space="preserve">Andres Darío Llanga Rodríguez</t>
  </si>
  <si>
    <t xml:space="preserve">rubenllanga@hotmail.com</t>
  </si>
  <si>
    <t xml:space="preserve">Steven Real</t>
  </si>
  <si>
    <t xml:space="preserve">tivencitoreal@gmail.com</t>
  </si>
  <si>
    <t xml:space="preserve">Astrid Muguerza Coello</t>
  </si>
  <si>
    <t xml:space="preserve">astridmuguerza@gmail.com</t>
  </si>
  <si>
    <t xml:space="preserve">Alex Cucalòn</t>
  </si>
  <si>
    <t xml:space="preserve">acjcomputer@hotmail.com</t>
  </si>
  <si>
    <t xml:space="preserve">Victor Arguello</t>
  </si>
  <si>
    <t xml:space="preserve">anthonyl04@hotmail.es</t>
  </si>
  <si>
    <t xml:space="preserve">Herrera barberan Brayan gabriel</t>
  </si>
  <si>
    <t xml:space="preserve">bra-yan94@hotmail.com</t>
  </si>
  <si>
    <t xml:space="preserve">Eliana Aguirre Palma</t>
  </si>
  <si>
    <t xml:space="preserve">ely_9012@hotmail.com</t>
  </si>
  <si>
    <t xml:space="preserve">Se asesora, indica acercarse directamente  a la universidad a pedir más información </t>
  </si>
  <si>
    <t xml:space="preserve">Mary Bustamante</t>
  </si>
  <si>
    <t xml:space="preserve">mareug_1993@outlook.es</t>
  </si>
  <si>
    <t xml:space="preserve">quiere de lunes a viernes pero no le da el horario </t>
  </si>
  <si>
    <t xml:space="preserve">Enrique Briones</t>
  </si>
  <si>
    <t xml:space="preserve">esmelu1980@hotmail.com</t>
  </si>
  <si>
    <t xml:space="preserve">Julio Cesar Pincay Maldonado</t>
  </si>
  <si>
    <t xml:space="preserve">jcpincaym@sana-sana.com</t>
  </si>
  <si>
    <t xml:space="preserve">José Holguin</t>
  </si>
  <si>
    <t xml:space="preserve">jholguin592@gmail.com</t>
  </si>
  <si>
    <t xml:space="preserve">Gabriel Toscano</t>
  </si>
  <si>
    <t xml:space="preserve">gabotoscano1999@hotmail.com</t>
  </si>
  <si>
    <t xml:space="preserve">ALex Castillo</t>
  </si>
  <si>
    <t xml:space="preserve">carloselnene1991@hotmail.com</t>
  </si>
  <si>
    <t xml:space="preserve">Byron Herrera</t>
  </si>
  <si>
    <t xml:space="preserve">byron22.bh@gmail.com</t>
  </si>
  <si>
    <t xml:space="preserve">Denisse Lenis</t>
  </si>
  <si>
    <t xml:space="preserve">denisselenis.21@gmail.com</t>
  </si>
  <si>
    <t xml:space="preserve">Roxana Valencia</t>
  </si>
  <si>
    <t xml:space="preserve">valenciaroxy382@gmail.com</t>
  </si>
  <si>
    <t xml:space="preserve">Se asesora, indica comunicarse cuando tome una decisión </t>
  </si>
  <si>
    <t xml:space="preserve">Kalitta Dereck</t>
  </si>
  <si>
    <t xml:space="preserve">carlavera2587@gmail.com</t>
  </si>
  <si>
    <t xml:space="preserve">Fercho Javier Liu-Ba Velasco</t>
  </si>
  <si>
    <t xml:space="preserve">fernandoliu-ba@hotmail.es</t>
  </si>
  <si>
    <t xml:space="preserve">-FERNANDO-</t>
  </si>
  <si>
    <t xml:space="preserve">blackhole-100008972745691-1478930477@devnull.facebook.com</t>
  </si>
  <si>
    <t xml:space="preserve">abre la llamada, no contesta nadie </t>
  </si>
  <si>
    <t xml:space="preserve">Jersson Banchon</t>
  </si>
  <si>
    <t xml:space="preserve">jersson_12b@hotmail.com</t>
  </si>
  <si>
    <t xml:space="preserve">Franklin Sanchez</t>
  </si>
  <si>
    <t xml:space="preserve">franklinsanchez560@gmail.com</t>
  </si>
  <si>
    <t xml:space="preserve">Se asesora, indica acercarse directamente a la universidad  a recibir mas asesoria </t>
  </si>
  <si>
    <t xml:space="preserve">JEFFERSON DANILO PESANTEZ FAJARDO</t>
  </si>
  <si>
    <t xml:space="preserve">traviesovjhd12@gmail.com</t>
  </si>
  <si>
    <t xml:space="preserve">Rosa López Chávez</t>
  </si>
  <si>
    <t xml:space="preserve">rosa.isabel708@gmail.com</t>
  </si>
  <si>
    <t xml:space="preserve">Liss Benavidez De Alvarado</t>
  </si>
  <si>
    <t xml:space="preserve">lesleyk1318@gmail.com</t>
  </si>
  <si>
    <t xml:space="preserve">Jennifer Castillo Bustamante</t>
  </si>
  <si>
    <t xml:space="preserve">jeadricasbus.2002@gmail.com</t>
  </si>
  <si>
    <t xml:space="preserve">Indica ser número equivocado </t>
  </si>
  <si>
    <t xml:space="preserve">Roxy Ljc</t>
  </si>
  <si>
    <t xml:space="preserve">roxanna-cs@hotmail.com</t>
  </si>
  <si>
    <t xml:space="preserve">Julixita de Martinez</t>
  </si>
  <si>
    <t xml:space="preserve">reyshellcargua@gmail.com</t>
  </si>
  <si>
    <t xml:space="preserve">Herminia Holguin</t>
  </si>
  <si>
    <t xml:space="preserve">graceherminiaholguin@gmai.com</t>
  </si>
  <si>
    <t xml:space="preserve">Robin Emiliano Contreras</t>
  </si>
  <si>
    <t xml:space="preserve">robin95_nn@outlook.com</t>
  </si>
  <si>
    <t xml:space="preserve">Fanny Salavarria Arteaga</t>
  </si>
  <si>
    <t xml:space="preserve">fannysu1997@hotmail.com</t>
  </si>
  <si>
    <t xml:space="preserve">Antony Alfonso Coello Moreno</t>
  </si>
  <si>
    <t xml:space="preserve">antony.john34@gmail.com</t>
  </si>
  <si>
    <t xml:space="preserve">Javox Quintana Desiderio</t>
  </si>
  <si>
    <t xml:space="preserve">Javier.quintanad@gmail.com</t>
  </si>
  <si>
    <t xml:space="preserve">Genesis Veas Caice</t>
  </si>
  <si>
    <t xml:space="preserve">genesisveas11@outlook.es</t>
  </si>
  <si>
    <t xml:space="preserve">Elder Jonny Carlos Bazan</t>
  </si>
  <si>
    <t xml:space="preserve">jonny_carlos_32@hotmail.com</t>
  </si>
  <si>
    <t xml:space="preserve">Priscila Lucio</t>
  </si>
  <si>
    <t xml:space="preserve">carmitalucio20@gmail.com</t>
  </si>
  <si>
    <t xml:space="preserve">Edgar Sangucho</t>
  </si>
  <si>
    <t xml:space="preserve">augusto.easi@yahoo.com</t>
  </si>
  <si>
    <t xml:space="preserve">Ludeña Encalada Mabell</t>
  </si>
  <si>
    <t xml:space="preserve">mabell90@hotmail.com</t>
  </si>
  <si>
    <t xml:space="preserve">Danilo Castro Vallejo</t>
  </si>
  <si>
    <t xml:space="preserve">danilo.dac87@hotmail.com</t>
  </si>
  <si>
    <t xml:space="preserve">Se asesora y se realiza preinscripción en llamada, desea ingresar por homologación y está al pendiente de la documentación </t>
  </si>
  <si>
    <t xml:space="preserve">Geovanny Chimbolema</t>
  </si>
  <si>
    <t xml:space="preserve">geovannychim@yahoo.es</t>
  </si>
  <si>
    <t xml:space="preserve">Byron Roldan</t>
  </si>
  <si>
    <t xml:space="preserve">byron19901@hotmail.com</t>
  </si>
  <si>
    <t xml:space="preserve">Luis Iñiguez</t>
  </si>
  <si>
    <t xml:space="preserve">luisin_original@hotmail.com</t>
  </si>
  <si>
    <t xml:space="preserve">Aura Mariela Soledispa Ayong</t>
  </si>
  <si>
    <t xml:space="preserve">soledispaayong29@gmail.com</t>
  </si>
  <si>
    <t xml:space="preserve">Vini Santafe</t>
  </si>
  <si>
    <t xml:space="preserve">vinicio182010@hotmail.com</t>
  </si>
  <si>
    <t xml:space="preserve">Kathy Cedeño Valencia</t>
  </si>
  <si>
    <t xml:space="preserve">skathycv@hotmail.com</t>
  </si>
  <si>
    <t xml:space="preserve">Se asesora y se realiza preinscripción en llamada, indica llevar requisitos directamente a la universidad </t>
  </si>
  <si>
    <t xml:space="preserve">Vivi Lu</t>
  </si>
  <si>
    <t xml:space="preserve">vivi_wera87@hotmail.com</t>
  </si>
  <si>
    <t xml:space="preserve">René Ushiña</t>
  </si>
  <si>
    <t xml:space="preserve">rene_ug16@hotmail.com</t>
  </si>
  <si>
    <t xml:space="preserve">Nelly Eliana Galiano Andrade</t>
  </si>
  <si>
    <t xml:space="preserve">nellyega@gmail.com</t>
  </si>
  <si>
    <t xml:space="preserve">Se asesora y se envía información al correo, es para el hijo, se agenda nueva llamada para mirar qué han pensado, desea ingresar por homologación  </t>
  </si>
  <si>
    <t xml:space="preserve">Yuleen Ramos</t>
  </si>
  <si>
    <t xml:space="preserve">yuleenramosc@hotmail.com</t>
  </si>
  <si>
    <t xml:space="preserve">Geovanny Morocho</t>
  </si>
  <si>
    <t xml:space="preserve">giova.inga@gmail.com</t>
  </si>
  <si>
    <t xml:space="preserve">Eve Batallas</t>
  </si>
  <si>
    <t xml:space="preserve">evebatec@yahoo.com</t>
  </si>
  <si>
    <t xml:space="preserve">Marcos Ponceg</t>
  </si>
  <si>
    <t xml:space="preserve">marcosponcegutierrez@gmail.com</t>
  </si>
  <si>
    <t xml:space="preserve">Se asesora y se envía correo con información, se agenda nueva llamada </t>
  </si>
  <si>
    <t xml:space="preserve">Fabricio Obregon</t>
  </si>
  <si>
    <t xml:space="preserve">crsanjose.cat2015@gmail.com</t>
  </si>
  <si>
    <t xml:space="preserve">Se asesora y se realiza preinscripción en llamada </t>
  </si>
  <si>
    <t xml:space="preserve">Gina Quimis</t>
  </si>
  <si>
    <t xml:space="preserve">ginaalexandraquimispincay@gmail.com</t>
  </si>
  <si>
    <t xml:space="preserve">Felix Thoret</t>
  </si>
  <si>
    <t xml:space="preserve">felix.thoret@hotmail.com</t>
  </si>
  <si>
    <t xml:space="preserve">Elena Lissette Granda Ramirez</t>
  </si>
  <si>
    <t xml:space="preserve">egranda32@hotmail.com</t>
  </si>
  <si>
    <t xml:space="preserve">Denisse Rojas</t>
  </si>
  <si>
    <t xml:space="preserve">janelledenisse@gmail.com</t>
  </si>
  <si>
    <t xml:space="preserve">se le brindo la informacion y lo pensara antes de tomar una decision volver a llamar</t>
  </si>
  <si>
    <t xml:space="preserve">Carolina Zambonino</t>
  </si>
  <si>
    <t xml:space="preserve">silvia_zambonino@hotmail.com</t>
  </si>
  <si>
    <t xml:space="preserve">Alexys Galvez</t>
  </si>
  <si>
    <t xml:space="preserve">alexys_lgl@hotmail.com</t>
  </si>
  <si>
    <t xml:space="preserve">Carlos Panchana</t>
  </si>
  <si>
    <t xml:space="preserve">cpanchanatrivio@gmail.com</t>
  </si>
  <si>
    <t xml:space="preserve">Se asesora, indica acercarse directamente a la universidad  </t>
  </si>
  <si>
    <t xml:space="preserve">Saul Pinargote Vera</t>
  </si>
  <si>
    <t xml:space="preserve">vsaulpinargote@gmail.com</t>
  </si>
  <si>
    <t xml:space="preserve">Se asesora, indica comunicarse cuando tome  una decisión </t>
  </si>
  <si>
    <t xml:space="preserve">Fernanda Ayon</t>
  </si>
  <si>
    <t xml:space="preserve">rociferayon@hotmail.com</t>
  </si>
  <si>
    <t xml:space="preserve">Se asesora, indica acercarse directamente a la universidad </t>
  </si>
  <si>
    <t xml:space="preserve">Andres SebastiAn CN</t>
  </si>
  <si>
    <t xml:space="preserve">Sebastian_cn_nz@hotmail.com</t>
  </si>
  <si>
    <t xml:space="preserve">Lesly Idania</t>
  </si>
  <si>
    <t xml:space="preserve">leslyhoran1999@hotmail.com</t>
  </si>
  <si>
    <t xml:space="preserve">Gilson steven encarnación encarnación</t>
  </si>
  <si>
    <t xml:space="preserve">gilsonencarnacion@gmail.com</t>
  </si>
  <si>
    <t xml:space="preserve">Jair Asqui</t>
  </si>
  <si>
    <t xml:space="preserve">jairasqui18@gmail.com</t>
  </si>
  <si>
    <t xml:space="preserve">No habia numero en el lead, se envía correo con información </t>
  </si>
  <si>
    <t xml:space="preserve">Gresi Santacruz</t>
  </si>
  <si>
    <t xml:space="preserve">margaritasantacruz2016@gmail.com</t>
  </si>
  <si>
    <t xml:space="preserve">se asesora, indica acercarse directamente a la universidad </t>
  </si>
  <si>
    <t xml:space="preserve">Geomayra PD</t>
  </si>
  <si>
    <t xml:space="preserve">oripd@hotmail.com</t>
  </si>
  <si>
    <t xml:space="preserve">Salomon Burgos</t>
  </si>
  <si>
    <t xml:space="preserve">Salomessirick@gmail.com</t>
  </si>
  <si>
    <t xml:space="preserve">Suly Velez</t>
  </si>
  <si>
    <t xml:space="preserve">katherinebrionesj@outlook.com</t>
  </si>
  <si>
    <t xml:space="preserve">Se asesora, desea ingresar por homologación, se envía correo con la información </t>
  </si>
  <si>
    <t xml:space="preserve">Danilo Lugmaña</t>
  </si>
  <si>
    <t xml:space="preserve">Se asesora, se brinda numero de Whatsapp, desea ingresar por homologación </t>
  </si>
  <si>
    <t xml:space="preserve">Monica Menendez</t>
  </si>
  <si>
    <t xml:space="preserve">monimenendez6@gmail.com</t>
  </si>
  <si>
    <t xml:space="preserve">Tatiana Loor</t>
  </si>
  <si>
    <t xml:space="preserve">tatyloor11@outlook.com</t>
  </si>
  <si>
    <t xml:space="preserve">Jhon Santiago</t>
  </si>
  <si>
    <t xml:space="preserve">jhonsantiesteban@gmail.com</t>
  </si>
  <si>
    <t xml:space="preserve">Monica Betancourt</t>
  </si>
  <si>
    <t xml:space="preserve">betamoni@hotmail.com</t>
  </si>
  <si>
    <t xml:space="preserve">roberto junior rivadeneira trejo</t>
  </si>
  <si>
    <t xml:space="preserve">adriana.banguera@utelvt.edu.ec</t>
  </si>
  <si>
    <t xml:space="preserve">POr ahora no esta interesado </t>
  </si>
  <si>
    <t xml:space="preserve">Erika Zeas</t>
  </si>
  <si>
    <t xml:space="preserve">erikazeas@hotmail.com</t>
  </si>
  <si>
    <t xml:space="preserve">Johanna Elizabeth Giler Reyes</t>
  </si>
  <si>
    <t xml:space="preserve">johannaeli82@hotmail.com</t>
  </si>
  <si>
    <t xml:space="preserve">Ana Isabel Vera Jara</t>
  </si>
  <si>
    <t xml:space="preserve">ana.vera@tomebamba.com.ec</t>
  </si>
  <si>
    <t xml:space="preserve">Se asesora,indica que desea continuar con el proceso que llevaba  anteriormente, se envían requisitos al WhastApp </t>
  </si>
  <si>
    <t xml:space="preserve">Vale Quinotocte</t>
  </si>
  <si>
    <t xml:space="preserve">vale18ale@gmail.com</t>
  </si>
  <si>
    <t xml:space="preserve">Paolita JP Chumaña ZaMbrano</t>
  </si>
  <si>
    <t xml:space="preserve">andreslatin98@hotmail.com</t>
  </si>
  <si>
    <t xml:space="preserve">Monica Mieles</t>
  </si>
  <si>
    <t xml:space="preserve">jackemieles_83@hotmail.com</t>
  </si>
  <si>
    <t xml:space="preserve">Carlos Rivera</t>
  </si>
  <si>
    <t xml:space="preserve">carlosriveraypa48@gmail.com</t>
  </si>
  <si>
    <t xml:space="preserve">Jessenia Lucas</t>
  </si>
  <si>
    <t xml:space="preserve">lis.luca43@gmail.com</t>
  </si>
  <si>
    <t xml:space="preserve">Indica estar interesada en psicología, se aplaza ara el semestre en que habrán esta carrera </t>
  </si>
  <si>
    <t xml:space="preserve">Verito Vega</t>
  </si>
  <si>
    <t xml:space="preserve">yuvanavega@hotmail.com</t>
  </si>
  <si>
    <t xml:space="preserve">Maria Añazco</t>
  </si>
  <si>
    <t xml:space="preserve">manazco369@gmail.com</t>
  </si>
  <si>
    <t xml:space="preserve">Johanita Lili</t>
  </si>
  <si>
    <t xml:space="preserve">johanietorivas.247@gmail.com</t>
  </si>
  <si>
    <t xml:space="preserve">Se asesora, indica verificar toda la informacion, se envia al whatsapp y se está en seguimiento  </t>
  </si>
  <si>
    <t xml:space="preserve">Evelyn Castro</t>
  </si>
  <si>
    <t xml:space="preserve">evelyn.cantos1994@gmail.com</t>
  </si>
  <si>
    <t xml:space="preserve">Antonieta G.</t>
  </si>
  <si>
    <t xml:space="preserve">antukaguarderas@hotmail.com</t>
  </si>
  <si>
    <t xml:space="preserve">Leonel Ostaiza</t>
  </si>
  <si>
    <t xml:space="preserve">eurieleon24@gmail.com</t>
  </si>
  <si>
    <t xml:space="preserve">Se brinda toda la asesoría, indica que va a ver bien toda la información y se brinda numero del WhatsApp</t>
  </si>
  <si>
    <t xml:space="preserve">Katherin Viteri</t>
  </si>
  <si>
    <t xml:space="preserve">annienbrillithviterimoreira@gmail.com</t>
  </si>
  <si>
    <t xml:space="preserve">Se asesora, indica acercarse directamente a la uteg </t>
  </si>
  <si>
    <t xml:space="preserve">Eduardo Paguay</t>
  </si>
  <si>
    <t xml:space="preserve">washingtonpg2001@gmail.com</t>
  </si>
  <si>
    <t xml:space="preserve">Fanny Jimenez</t>
  </si>
  <si>
    <t xml:space="preserve">yolijj2017@gmail.com</t>
  </si>
  <si>
    <t xml:space="preserve">maytha cavero</t>
  </si>
  <si>
    <t xml:space="preserve">maithacavero1973@gmail.com</t>
  </si>
  <si>
    <t xml:space="preserve">PABLO ALBERTO TOSCANO GUARACA</t>
  </si>
  <si>
    <t xml:space="preserve">aexzander@gmail.com</t>
  </si>
  <si>
    <t xml:space="preserve">Carmen Alexandra Banegas Yunga</t>
  </si>
  <si>
    <t xml:space="preserve">carmenalexa6@gmail.com</t>
  </si>
  <si>
    <t xml:space="preserve">En el momento estaba buscando información, indica comunicarse cuando esté interesada </t>
  </si>
  <si>
    <t xml:space="preserve">Andrea Zamora</t>
  </si>
  <si>
    <t xml:space="preserve">andreamzv@hotmail.com</t>
  </si>
  <si>
    <t xml:space="preserve">Se asesora, se envía correo con información,  indica acercarse directamente a la Universidad  </t>
  </si>
  <si>
    <t xml:space="preserve">Erick Ramirez</t>
  </si>
  <si>
    <t xml:space="preserve">erick2010@hotmail.cl</t>
  </si>
  <si>
    <t xml:space="preserve">Se asesora, se envía información al correo, indica acercarse directamente a la universidad </t>
  </si>
  <si>
    <t xml:space="preserve">Lucia Muentes</t>
  </si>
  <si>
    <t xml:space="preserve">tuangelitolucia@hotmail.com</t>
  </si>
  <si>
    <t xml:space="preserve">Angelica Moreira</t>
  </si>
  <si>
    <t xml:space="preserve">angy201046@hotmail.com</t>
  </si>
  <si>
    <t xml:space="preserve">Se asesora, se indica numero del WhatsApp ya que desea hablar con el esposo </t>
  </si>
  <si>
    <t xml:space="preserve">Xavier Tigre</t>
  </si>
  <si>
    <t xml:space="preserve">xaviertigre@hotmail.com</t>
  </si>
  <si>
    <t xml:space="preserve">Normita Cayancela</t>
  </si>
  <si>
    <t xml:space="preserve">normita87c@gmail.com</t>
  </si>
  <si>
    <t xml:space="preserve">Se asesora, indica comunicarse cuando tenga la disponibilidad de tomar la carrera </t>
  </si>
  <si>
    <t xml:space="preserve">Maria Carranza</t>
  </si>
  <si>
    <t xml:space="preserve">mariacarranza13@hotmail.com</t>
  </si>
  <si>
    <t xml:space="preserve">Maritza Arteaga</t>
  </si>
  <si>
    <t xml:space="preserve">maritzmercedesvera@outlook.com</t>
  </si>
  <si>
    <t xml:space="preserve">Rosa Cantos</t>
  </si>
  <si>
    <t xml:space="preserve">rosacantos92@gmail.com</t>
  </si>
  <si>
    <t xml:space="preserve">Sele Ramirez</t>
  </si>
  <si>
    <t xml:space="preserve">selenitaprinss@hotmail.com</t>
  </si>
  <si>
    <t xml:space="preserve">Angela Granados</t>
  </si>
  <si>
    <t xml:space="preserve">Elkinodalis14@hoimeit.com</t>
  </si>
  <si>
    <t xml:space="preserve">Mary Alexa Vera</t>
  </si>
  <si>
    <t xml:space="preserve">alexa-v21@hotmail.com</t>
  </si>
  <si>
    <t xml:space="preserve">Erick Ganchozo</t>
  </si>
  <si>
    <t xml:space="preserve">erick_96ganchozo@hotmail.com</t>
  </si>
  <si>
    <t xml:space="preserve">Alejandro Abel Centeno Olives</t>
  </si>
  <si>
    <t xml:space="preserve">centeno19873@hotmail.com</t>
  </si>
  <si>
    <t xml:space="preserve">Sandry Cruz Sánchez</t>
  </si>
  <si>
    <t xml:space="preserve">sandrycruzsan@gmail.com</t>
  </si>
  <si>
    <t xml:space="preserve">se asesora y se envía información al WhatsApp para estar en seguimiento </t>
  </si>
  <si>
    <t xml:space="preserve">Geno Eli De Torres</t>
  </si>
  <si>
    <t xml:space="preserve">genesissz1995@hotmail.com</t>
  </si>
  <si>
    <t xml:space="preserve">indica que se le presentaron unos problemas y ya no puede tomar la carrera </t>
  </si>
  <si>
    <t xml:space="preserve">Julia Fernanda Haro Cabezas</t>
  </si>
  <si>
    <t xml:space="preserve">juliaferh@hotmail.com</t>
  </si>
  <si>
    <t xml:space="preserve">Danilo Seferino Cajamarca Suin</t>
  </si>
  <si>
    <t xml:space="preserve">carlosastudillocarlosastudillo@hotmail.com</t>
  </si>
  <si>
    <t xml:space="preserve">Anita Lucia Ortiz Urgiles</t>
  </si>
  <si>
    <t xml:space="preserve">ruthmerysaldana@gmail.com</t>
  </si>
  <si>
    <t xml:space="preserve">Cecibel Ronquillo Alcivar</t>
  </si>
  <si>
    <t xml:space="preserve">ireneronquillotubaby@hotmail.com</t>
  </si>
  <si>
    <t xml:space="preserve">Jennifer Mendieta</t>
  </si>
  <si>
    <t xml:space="preserve">jennifersamanthamg@gmail.com</t>
  </si>
  <si>
    <t xml:space="preserve">Gazu Morocho</t>
  </si>
  <si>
    <t xml:space="preserve">azu.gazu83@gmail.com</t>
  </si>
  <si>
    <t xml:space="preserve">ESTABA OCUPADA, SE AGENDA NUEVA LLAMADA </t>
  </si>
  <si>
    <t xml:space="preserve">Jonathan JP</t>
  </si>
  <si>
    <t xml:space="preserve">jonatan.oz@hotmail.com</t>
  </si>
  <si>
    <t xml:space="preserve">Andy Fernando Cajape</t>
  </si>
  <si>
    <t xml:space="preserve">fernando1297@hotmail.com</t>
  </si>
  <si>
    <t xml:space="preserve">EStaba ocupado, se agenda nueva llamada </t>
  </si>
  <si>
    <t xml:space="preserve">Estefania Medina Alcivar</t>
  </si>
  <si>
    <t xml:space="preserve">estefamedina06@gmail.com</t>
  </si>
  <si>
    <t xml:space="preserve">Gerson Andres Olvera Ayala</t>
  </si>
  <si>
    <t xml:space="preserve">andrecitogl@hotmail.com</t>
  </si>
  <si>
    <t xml:space="preserve">Gisell Mendoza</t>
  </si>
  <si>
    <t xml:space="preserve">gisellmendoza99.20@gmail.com</t>
  </si>
  <si>
    <t xml:space="preserve">Martha Emilia Segura Branda</t>
  </si>
  <si>
    <t xml:space="preserve">erlynrodriguezbatioja@gmail.com</t>
  </si>
  <si>
    <t xml:space="preserve">Se asesora y se agenda  nueva llamada para mirar que ha pensado </t>
  </si>
  <si>
    <t xml:space="preserve">Jeins Velez</t>
  </si>
  <si>
    <t xml:space="preserve">Fernanflocopi2@gmail.com</t>
  </si>
  <si>
    <t xml:space="preserve">Se asesora, indica comunicarse cuando tenga la disponibilidad </t>
  </si>
  <si>
    <t xml:space="preserve">Luis Sosa Garcia</t>
  </si>
  <si>
    <t xml:space="preserve">l_octavio@hotmail.es</t>
  </si>
  <si>
    <t xml:space="preserve">Geraldin Flores Flores</t>
  </si>
  <si>
    <t xml:space="preserve">geraldin_12_14@hotmail.es</t>
  </si>
  <si>
    <t xml:space="preserve">Se asesora, se envia informacion  por Whastapp  </t>
  </si>
  <si>
    <t xml:space="preserve">Tahi Ortiz</t>
  </si>
  <si>
    <t xml:space="preserve">tahiry1004@gmail.com</t>
  </si>
  <si>
    <t xml:space="preserve">Chris Alejo</t>
  </si>
  <si>
    <t xml:space="preserve">alejochriss_96@hotmail.com</t>
  </si>
  <si>
    <t xml:space="preserve">Se asesora, se envía información al WhatsApp para estar en seguimiento</t>
  </si>
  <si>
    <t xml:space="preserve">Kevin Johan Zambrano Mendoza</t>
  </si>
  <si>
    <t xml:space="preserve">kevinjohanzambranomendoza@gmail.com</t>
  </si>
  <si>
    <t xml:space="preserve">Se brinda asesoría, y se agenda nueva llamada para seguir con información </t>
  </si>
  <si>
    <t xml:space="preserve">Cristian Castillo</t>
  </si>
  <si>
    <t xml:space="preserve">Cristianfccatm@outlook.es</t>
  </si>
  <si>
    <t xml:space="preserve">Billy Cristopher Arroyo</t>
  </si>
  <si>
    <t xml:space="preserve">billyarroyo13@gmail.com</t>
  </si>
  <si>
    <t xml:space="preserve">Se asesora, indica acercarse directamente a  la uteg </t>
  </si>
  <si>
    <t xml:space="preserve">Joss H Talledo</t>
  </si>
  <si>
    <t xml:space="preserve">jeffersonlatino@hotmail.es</t>
  </si>
  <si>
    <t xml:space="preserve">Bc Karlota</t>
  </si>
  <si>
    <t xml:space="preserve">karlitalatraviesa1@gmail.com</t>
  </si>
  <si>
    <t xml:space="preserve">somelin mendoza</t>
  </si>
  <si>
    <t xml:space="preserve">denismendoza1994@outlook.es</t>
  </si>
  <si>
    <t xml:space="preserve">Se acercara directamente a la Uteg </t>
  </si>
  <si>
    <t xml:space="preserve">genesis</t>
  </si>
  <si>
    <t xml:space="preserve">genesisprinces_@hotmail.com</t>
  </si>
  <si>
    <t xml:space="preserve">Zârhây Êscôbêdô</t>
  </si>
  <si>
    <t xml:space="preserve">saryescobedo17@hotmail.com</t>
  </si>
  <si>
    <t xml:space="preserve">Mónica Cecibel Suarez Olvera</t>
  </si>
  <si>
    <t xml:space="preserve">moniksagitario@hotmail.com</t>
  </si>
  <si>
    <t xml:space="preserve">pamela arboleda quiñonez</t>
  </si>
  <si>
    <t xml:space="preserve">pamela.arboleda@tecsu.edu.ec</t>
  </si>
  <si>
    <t xml:space="preserve">viviana97</t>
  </si>
  <si>
    <t xml:space="preserve">vivi_96luy@hotmail.com</t>
  </si>
  <si>
    <t xml:space="preserve">Se asesora, indica acercarse directamente a la Uteg </t>
  </si>
  <si>
    <t xml:space="preserve">Mishel Morales</t>
  </si>
  <si>
    <t xml:space="preserve">roxi.tubebep@gmail.com</t>
  </si>
  <si>
    <t xml:space="preserve">Ximena Ponce</t>
  </si>
  <si>
    <t xml:space="preserve">ximenaponce22@gmail.com</t>
  </si>
  <si>
    <t xml:space="preserve">Derlys Ledesma</t>
  </si>
  <si>
    <t xml:space="preserve">derlysledesma1982@hotmail.com</t>
  </si>
  <si>
    <t xml:space="preserve">Edison J Gonzalez</t>
  </si>
  <si>
    <t xml:space="preserve">edisonjavier20112012@hotmail.com</t>
  </si>
  <si>
    <t xml:space="preserve">Aylin García Cáceres</t>
  </si>
  <si>
    <t xml:space="preserve">aylintamara@outlook.com</t>
  </si>
  <si>
    <t xml:space="preserve">Jesus Yoro</t>
  </si>
  <si>
    <t xml:space="preserve">jesusgomez19921221@hotmail.com</t>
  </si>
  <si>
    <t xml:space="preserve">Rous Mery Cueva</t>
  </si>
  <si>
    <t xml:space="preserve">mery90cueva@gmail.com</t>
  </si>
  <si>
    <t xml:space="preserve">Estaba manejando, se agenda nueva llamada </t>
  </si>
  <si>
    <t xml:space="preserve">Vanessa Yepez</t>
  </si>
  <si>
    <t xml:space="preserve">vaneztef_95@hotmail.com</t>
  </si>
  <si>
    <t xml:space="preserve">Juan C. García</t>
  </si>
  <si>
    <t xml:space="preserve">garciadicaesar10@outlook.com</t>
  </si>
  <si>
    <t xml:space="preserve">Fabian Ortiz Delgado</t>
  </si>
  <si>
    <t xml:space="preserve">fabianortiz1984@outlook.com</t>
  </si>
  <si>
    <t xml:space="preserve">Walther Ponce Suarez</t>
  </si>
  <si>
    <t xml:space="preserve">waltherponcesu94@gmail.com</t>
  </si>
  <si>
    <t xml:space="preserve">Angel Moreira</t>
  </si>
  <si>
    <t xml:space="preserve">angel_99moreira@hotmail.com</t>
  </si>
  <si>
    <t xml:space="preserve">Maryeling Del Carmen Mateo Rodriguez</t>
  </si>
  <si>
    <t xml:space="preserve">carmita.4@outlook.com</t>
  </si>
  <si>
    <t xml:space="preserve">Andres Anchundia</t>
  </si>
  <si>
    <t xml:space="preserve">anchundiaguayaco@hotmail.com</t>
  </si>
  <si>
    <t xml:space="preserve">mafer.z.r_1985@hotmail.com</t>
  </si>
  <si>
    <t xml:space="preserve">Liliana Rivera</t>
  </si>
  <si>
    <t xml:space="preserve">kerlyrivera88@hotmail.com</t>
  </si>
  <si>
    <t xml:space="preserve">Se asesora, se envía información al correo ya que estaba en el trabajo </t>
  </si>
  <si>
    <t xml:space="preserve">Angel Cedeño</t>
  </si>
  <si>
    <t xml:space="preserve">andatealapanza50@gmail.com</t>
  </si>
  <si>
    <t xml:space="preserve">Número fuera de servicio </t>
  </si>
  <si>
    <t xml:space="preserve">Adry Darianita</t>
  </si>
  <si>
    <t xml:space="preserve">adrianisa123@hotmail.com</t>
  </si>
  <si>
    <t xml:space="preserve">Se asesora y se envian informacion al correo, tiene titulo de tercer nivel entonces desea tomar la maestría </t>
  </si>
  <si>
    <t xml:space="preserve">Jhon Alexander Bravo Pilco</t>
  </si>
  <si>
    <t xml:space="preserve">jhon-alexander1996@live.com</t>
  </si>
  <si>
    <t xml:space="preserve">Cristina Plúa</t>
  </si>
  <si>
    <t xml:space="preserve">jemima_cevallosjemi@hotmail.com</t>
  </si>
  <si>
    <t xml:space="preserve">Anabel Galarza</t>
  </si>
  <si>
    <t xml:space="preserve">anayelli94@hotmail.es</t>
  </si>
  <si>
    <t xml:space="preserve">Se asesora y se realiza preinscripción en llamada, ingresa por homologación </t>
  </si>
  <si>
    <t xml:space="preserve">Angelica Guerrero</t>
  </si>
  <si>
    <t xml:space="preserve">angelica95guerrerojaramillo@gmail.com</t>
  </si>
  <si>
    <t xml:space="preserve">Se asesora, se envía información al correo electrónico ya que desea verificar bien con el padre y ay tomará una decisión   </t>
  </si>
  <si>
    <t xml:space="preserve">Katty Gurumendi</t>
  </si>
  <si>
    <t xml:space="preserve">katiuskagurumendi@gmail.com</t>
  </si>
  <si>
    <t xml:space="preserve">Jose Flores</t>
  </si>
  <si>
    <t xml:space="preserve">josem_flores@outlook.com</t>
  </si>
  <si>
    <t xml:space="preserve">Moises Rendon</t>
  </si>
  <si>
    <t xml:space="preserve">alvarobarrios2018@gmail.com</t>
  </si>
  <si>
    <t xml:space="preserve">Alexis Silva Naranjo</t>
  </si>
  <si>
    <t xml:space="preserve">alexsilva_82@hotmail.com</t>
  </si>
  <si>
    <t xml:space="preserve">Se asesora, queda en comunicarse cuando tome una decisión </t>
  </si>
  <si>
    <t xml:space="preserve">Ronni Lennin</t>
  </si>
  <si>
    <t xml:space="preserve">ron_len_22@hotmail.com</t>
  </si>
  <si>
    <t xml:space="preserve">Stalin Villacres</t>
  </si>
  <si>
    <t xml:space="preserve">stalin_jossue94@hotmail.com</t>
  </si>
  <si>
    <t xml:space="preserve">Se asesora, indica que va a hablar con la mama y se comunicará por WhastApp cuando tenga respuesta</t>
  </si>
  <si>
    <t xml:space="preserve">Solange Lorena Quimi Lino</t>
  </si>
  <si>
    <t xml:space="preserve">solang_quimi21@hotmail.com</t>
  </si>
  <si>
    <t xml:space="preserve">Sofia FV</t>
  </si>
  <si>
    <t xml:space="preserve">sofilis1999_1@hotmail.com</t>
  </si>
  <si>
    <t xml:space="preserve">Se asesora, indica que lo va a informar a los padres y se comunicará directamente </t>
  </si>
  <si>
    <t xml:space="preserve">Nelson Ricardo Guerrero Cruz</t>
  </si>
  <si>
    <t xml:space="preserve">nelsonguerrero99@hotmail.com</t>
  </si>
  <si>
    <t xml:space="preserve">José Lizandro Macías Cedeño</t>
  </si>
  <si>
    <t xml:space="preserve">macias.lizandro32@gmail.com</t>
  </si>
  <si>
    <t xml:space="preserve">Junior Campuzano Cabrera</t>
  </si>
  <si>
    <t xml:space="preserve">jorge-campuzano1997@hotmail.com</t>
  </si>
  <si>
    <t xml:space="preserve">Carlos Guambo</t>
  </si>
  <si>
    <t xml:space="preserve">carlosguambog@gmail.com</t>
  </si>
  <si>
    <t xml:space="preserve">Rodriguez Asencio Juan Alexy</t>
  </si>
  <si>
    <t xml:space="preserve">ralexy041@gmail.com</t>
  </si>
  <si>
    <t xml:space="preserve">Se asesora, se agenda nueva llamada para seguir con información </t>
  </si>
  <si>
    <t xml:space="preserve">Givelly Paola Gutierrez</t>
  </si>
  <si>
    <t xml:space="preserve">leydi_paola90@outlook.es</t>
  </si>
  <si>
    <t xml:space="preserve">Joao Ailyn Obando</t>
  </si>
  <si>
    <t xml:space="preserve">joaoobando1994@gmail.com</t>
  </si>
  <si>
    <t xml:space="preserve">Oswald Castro Abad</t>
  </si>
  <si>
    <t xml:space="preserve">oswaldocastro@hotmail.es</t>
  </si>
  <si>
    <t xml:space="preserve">iba de salida para el trabajo, se agenda nueva llamada </t>
  </si>
  <si>
    <t xml:space="preserve">Isabel Pilaquinga</t>
  </si>
  <si>
    <t xml:space="preserve">marisabel218612@gmail.com</t>
  </si>
  <si>
    <t xml:space="preserve">Eddy Geovanny Santacruz Rengifo</t>
  </si>
  <si>
    <t xml:space="preserve">geovanny-santacruz@hotmail.com</t>
  </si>
  <si>
    <t xml:space="preserve">Carlos Achote</t>
  </si>
  <si>
    <t xml:space="preserve">carlitosachote@hotmail.com</t>
  </si>
  <si>
    <t xml:space="preserve">Leonela Bravo</t>
  </si>
  <si>
    <t xml:space="preserve">bravoleonela2@gmail.com</t>
  </si>
  <si>
    <t xml:space="preserve">Indica que está muy ocupada, se agenda nueva llamada </t>
  </si>
  <si>
    <t xml:space="preserve">Roberto Paredes</t>
  </si>
  <si>
    <t xml:space="preserve">robertparedes11@hotmail.com</t>
  </si>
  <si>
    <t xml:space="preserve">abre la llamada pero no habla </t>
  </si>
  <si>
    <t xml:space="preserve">Andrea Arce</t>
  </si>
  <si>
    <t xml:space="preserve">a_arce_mejia@hotmail.com</t>
  </si>
  <si>
    <t xml:space="preserve">Danny Martinez</t>
  </si>
  <si>
    <t xml:space="preserve">dannymar82@hotmail.com</t>
  </si>
  <si>
    <t xml:space="preserve">Darwin Patricio Moncayo Galeas</t>
  </si>
  <si>
    <t xml:space="preserve">patricio.moncayo@hotmail.com</t>
  </si>
  <si>
    <t xml:space="preserve">Edgar Telenchana</t>
  </si>
  <si>
    <t xml:space="preserve">pato.loco1989@hotmail.com</t>
  </si>
  <si>
    <t xml:space="preserve">Marcos Rosales</t>
  </si>
  <si>
    <t xml:space="preserve">osito.rosales_@hotmail.com</t>
  </si>
  <si>
    <t xml:space="preserve">Diego Codena</t>
  </si>
  <si>
    <t xml:space="preserve">diegonvs06@gmail.com</t>
  </si>
  <si>
    <t xml:space="preserve">Mayri Yc</t>
  </si>
  <si>
    <t xml:space="preserve">mayri.yc@hotmail.com</t>
  </si>
  <si>
    <t xml:space="preserve">Glenda Coronel</t>
  </si>
  <si>
    <t xml:space="preserve">glendacorrom@gmail.com</t>
  </si>
  <si>
    <t xml:space="preserve">Tamy Torres Bedor</t>
  </si>
  <si>
    <t xml:space="preserve">tamy_fabricio@hotmail.com</t>
  </si>
  <si>
    <t xml:space="preserve">indica que estaba en el trabajo, se agenda nueva llamada </t>
  </si>
  <si>
    <t xml:space="preserve">Franchesca Muñoz</t>
  </si>
  <si>
    <t xml:space="preserve">verito00343@gmail.com</t>
  </si>
  <si>
    <t xml:space="preserve">No estaba en la casa y por eso no podía atender la llamada </t>
  </si>
  <si>
    <t xml:space="preserve">Cecilia Mariana Bagui Quiñonez</t>
  </si>
  <si>
    <t xml:space="preserve">ceciliab204@gmail.com</t>
  </si>
  <si>
    <t xml:space="preserve">Camilita Cabrera</t>
  </si>
  <si>
    <t xml:space="preserve">camilacabrera1996@hotmail.com.ar</t>
  </si>
  <si>
    <t xml:space="preserve">Ivan Haro</t>
  </si>
  <si>
    <t xml:space="preserve">ivanharofarias@gmail.com</t>
  </si>
  <si>
    <t xml:space="preserve">Raul Jaramillo</t>
  </si>
  <si>
    <t xml:space="preserve">freddyrauljaramillo@gmail.com</t>
  </si>
  <si>
    <t xml:space="preserve">Sonia Pelaez</t>
  </si>
  <si>
    <t xml:space="preserve">soniaalexa_1705@yahoo.es</t>
  </si>
  <si>
    <t xml:space="preserve">Pastor Atilio Velez Gomez</t>
  </si>
  <si>
    <t xml:space="preserve">atiliozelev2018@gmail.com</t>
  </si>
  <si>
    <t xml:space="preserve">Cristian Israel Cando Taday</t>
  </si>
  <si>
    <t xml:space="preserve">cristianisrael101@hotmail.com</t>
  </si>
  <si>
    <t xml:space="preserve">Indica asistir  directamente a la universidad a recibir asesoría personal </t>
  </si>
  <si>
    <t xml:space="preserve">Victoria Valdiviezo Zamora</t>
  </si>
  <si>
    <t xml:space="preserve">victoria_vz97@hotmail.com</t>
  </si>
  <si>
    <t xml:space="preserve">Orfa Vera</t>
  </si>
  <si>
    <t xml:space="preserve">orfavera@hotmail.com</t>
  </si>
  <si>
    <t xml:space="preserve">Se asesora, se agenda nueva llamada porque estaba en el trabajo  </t>
  </si>
  <si>
    <t xml:space="preserve">Ean Tonio Mieles Zambrano</t>
  </si>
  <si>
    <t xml:space="preserve">emieleszambra@gmail.com</t>
  </si>
  <si>
    <t xml:space="preserve">EStaba conduciendo, se agenda nueva llamada </t>
  </si>
  <si>
    <t xml:space="preserve">Sonia Andrade</t>
  </si>
  <si>
    <t xml:space="preserve">soniaandrade431@Gmail.com</t>
  </si>
  <si>
    <t xml:space="preserve">Taty CZ</t>
  </si>
  <si>
    <t xml:space="preserve">tatyacz84@hotmail.com</t>
  </si>
  <si>
    <t xml:space="preserve">Danny Piolin</t>
  </si>
  <si>
    <t xml:space="preserve">danrandy2192@hotmail.com</t>
  </si>
  <si>
    <t xml:space="preserve">Jaime Pilatasig</t>
  </si>
  <si>
    <t xml:space="preserve">jaime04822@yahoo.es</t>
  </si>
  <si>
    <t xml:space="preserve">Edison Zambrano</t>
  </si>
  <si>
    <t xml:space="preserve">alexmaj16@hotmail.com</t>
  </si>
  <si>
    <t xml:space="preserve">Rakes MA</t>
  </si>
  <si>
    <t xml:space="preserve">ana.achina@adventistas.ec</t>
  </si>
  <si>
    <t xml:space="preserve">Se asesora y se  envía correo con información  </t>
  </si>
  <si>
    <t xml:space="preserve">Robinson Palacios</t>
  </si>
  <si>
    <t xml:space="preserve">robin333palacios@hotmail.com</t>
  </si>
  <si>
    <t xml:space="preserve">Se agenda nueva llamada, estaba ocupado </t>
  </si>
  <si>
    <t xml:space="preserve">Maria Luisa Alvarado</t>
  </si>
  <si>
    <t xml:space="preserve">alvaradog.maria@gmail.com</t>
  </si>
  <si>
    <t xml:space="preserve">Leidy Morocho</t>
  </si>
  <si>
    <t xml:space="preserve">myleidy1981@hotmail.com</t>
  </si>
  <si>
    <t xml:space="preserve">Se asesora, se agenda nueva llamada para ver qué ha pensado </t>
  </si>
  <si>
    <t xml:space="preserve">Ely Portero</t>
  </si>
  <si>
    <t xml:space="preserve">cisnelove@yahoo.es</t>
  </si>
  <si>
    <t xml:space="preserve">estaba ocupada, en reunión se agenda nueva llamada </t>
  </si>
  <si>
    <t xml:space="preserve">Herrera Rogel Wilson</t>
  </si>
  <si>
    <t xml:space="preserve">dura.lex.sed.lex.wh.2018.12.03@gmail.com</t>
  </si>
  <si>
    <t xml:space="preserve">Louis Maldonado</t>
  </si>
  <si>
    <t xml:space="preserve">louishumberto1984@gmail.com</t>
  </si>
  <si>
    <t xml:space="preserve">Lucio Cruz</t>
  </si>
  <si>
    <t xml:space="preserve">luciobecker1976@hotmail.com</t>
  </si>
  <si>
    <t xml:space="preserve">Ernesto Zambrano</t>
  </si>
  <si>
    <t xml:space="preserve">ernestovzr@outlook.es</t>
  </si>
  <si>
    <t xml:space="preserve">Irene Peralta Panchana</t>
  </si>
  <si>
    <t xml:space="preserve">peraltairene@hotmail.com</t>
  </si>
  <si>
    <t xml:space="preserve">Elvis Verdezoto</t>
  </si>
  <si>
    <t xml:space="preserve">elvis_verdezoto_553@hotmail.com</t>
  </si>
  <si>
    <t xml:space="preserve">Marius Francis Garces</t>
  </si>
  <si>
    <t xml:space="preserve">francisgutierrez_1983@hotmail.com</t>
  </si>
  <si>
    <t xml:space="preserve">Martha Daniela Yepez Soledispa</t>
  </si>
  <si>
    <t xml:space="preserve">marthayepezsoledispa@outlook.es</t>
  </si>
  <si>
    <t xml:space="preserve">Fabian Calle</t>
  </si>
  <si>
    <t xml:space="preserve">fabicall_17@hotmail.com</t>
  </si>
  <si>
    <t xml:space="preserve">Vanessa Spitz</t>
  </si>
  <si>
    <t xml:space="preserve">vanessa.spitz@hotmail.com</t>
  </si>
  <si>
    <t xml:space="preserve">Sonia Sba</t>
  </si>
  <si>
    <t xml:space="preserve">berzap1@yahoo.com</t>
  </si>
  <si>
    <t xml:space="preserve">Salvador Guevara</t>
  </si>
  <si>
    <t xml:space="preserve">andresalvatore2011@hotmail.com</t>
  </si>
  <si>
    <t xml:space="preserve">Fernanda Jiménez Villalba</t>
  </si>
  <si>
    <t xml:space="preserve">n_andafer@hotmail.com</t>
  </si>
  <si>
    <t xml:space="preserve">volver a llamar se encuentra interesada</t>
  </si>
  <si>
    <t xml:space="preserve">Anny Figueroa Intriago</t>
  </si>
  <si>
    <t xml:space="preserve">anarellasaravysaul@gmail.com</t>
  </si>
  <si>
    <t xml:space="preserve">no esta interesada, solo esta interesada en maestria de administracion publica</t>
  </si>
  <si>
    <t xml:space="preserve">Miguel Barragan</t>
  </si>
  <si>
    <t xml:space="preserve">miguelbarragan_18@hotmail.com</t>
  </si>
  <si>
    <t xml:space="preserve">Carlos A. Jimenez</t>
  </si>
  <si>
    <t xml:space="preserve">carlosabel0809@hotmail.es</t>
  </si>
  <si>
    <t xml:space="preserve">Maria Soledad</t>
  </si>
  <si>
    <t xml:space="preserve">msolept@hotmail.com</t>
  </si>
  <si>
    <t xml:space="preserve">Dayanita Ramírez</t>
  </si>
  <si>
    <t xml:space="preserve">dayita_4@hotmai.com</t>
  </si>
  <si>
    <t xml:space="preserve">Betty Zambrano</t>
  </si>
  <si>
    <t xml:space="preserve">Karenz161912@gmail.com</t>
  </si>
  <si>
    <t xml:space="preserve">Scarleth Cangá</t>
  </si>
  <si>
    <t xml:space="preserve">scarleth.canga@yahoo.com</t>
  </si>
  <si>
    <t xml:space="preserve">Danitosan0407@gmail.com</t>
  </si>
  <si>
    <t xml:space="preserve">Nina Arias</t>
  </si>
  <si>
    <t xml:space="preserve">ariasnicole029@gmail.com</t>
  </si>
  <si>
    <t xml:space="preserve">Se envía información al correo, no habia numero en el lead </t>
  </si>
  <si>
    <t xml:space="preserve">Josue Olver</t>
  </si>
  <si>
    <t xml:space="preserve">Josueolver@hotmail.com</t>
  </si>
  <si>
    <t xml:space="preserve">Se envía información al correo, no hay número en el lead</t>
  </si>
  <si>
    <t xml:space="preserve">Stefania Michelitap</t>
  </si>
  <si>
    <t xml:space="preserve">Daniel Bravo</t>
  </si>
  <si>
    <t xml:space="preserve">Cinthya Ochoa</t>
  </si>
  <si>
    <t xml:space="preserve">cinthyag8ac@hotmail.com</t>
  </si>
  <si>
    <t xml:space="preserve">No había número en el lead, se envía información al correo  </t>
  </si>
  <si>
    <t xml:space="preserve">Angelo Gamboa</t>
  </si>
  <si>
    <t xml:space="preserve">angeloaurora3b@gmail.com</t>
  </si>
  <si>
    <t xml:space="preserve">Elias Pintag</t>
  </si>
  <si>
    <t xml:space="preserve">eliaspintagy@hotmail.com</t>
  </si>
  <si>
    <t xml:space="preserve">Lesleyk1318@gmail.com</t>
  </si>
  <si>
    <t xml:space="preserve">Karla Cortez</t>
  </si>
  <si>
    <t xml:space="preserve">karlitabeia10@hotmail.com</t>
  </si>
  <si>
    <t xml:space="preserve">Jorge Garcia</t>
  </si>
  <si>
    <t xml:space="preserve">jorengar@live.com </t>
  </si>
  <si>
    <t xml:space="preserve">solicito informacio por correo electronico volver a llamar</t>
  </si>
  <si>
    <t xml:space="preserve">Joha Proaño</t>
  </si>
  <si>
    <t xml:space="preserve">juanita_jc21@hotmail.com</t>
  </si>
  <si>
    <t xml:space="preserve">Andrés Tomala</t>
  </si>
  <si>
    <t xml:space="preserve">Santo_andres@hotmail.es</t>
  </si>
  <si>
    <t xml:space="preserve">Se asesora y se envía información al WhatsApp para estar en seguimiento </t>
  </si>
  <si>
    <t xml:space="preserve">Tiifany Chavez</t>
  </si>
  <si>
    <t xml:space="preserve">Stefanypc69@gmail.com</t>
  </si>
  <si>
    <t xml:space="preserve">Marilyn Cse</t>
  </si>
  <si>
    <t xml:space="preserve">marilinledesma20@gmail.com</t>
  </si>
  <si>
    <t xml:space="preserve">INDICA ASISTIR DIRECTAMENTE  A LA UNIVERSIDAD </t>
  </si>
  <si>
    <t xml:space="preserve">Carmen Elizabeth</t>
  </si>
  <si>
    <t xml:space="preserve">carmenelizabeth-95@hotmail.com</t>
  </si>
  <si>
    <t xml:space="preserve">Se asesora, se agenda nueva llamada para ver que ha pensado, está interesada en la modalidad online </t>
  </si>
  <si>
    <t xml:space="preserve">Carito Ontaneda</t>
  </si>
  <si>
    <t xml:space="preserve">informacion jomy16_1@hotmail.com</t>
  </si>
  <si>
    <t xml:space="preserve">Mauricio Cárdenas</t>
  </si>
  <si>
    <t xml:space="preserve">Zlatanreke@gmail.com</t>
  </si>
  <si>
    <t xml:space="preserve">Jazmany Zambrano</t>
  </si>
  <si>
    <t xml:space="preserve">Zamr464@hotmail. Com</t>
  </si>
  <si>
    <t xml:space="preserve">Any Salbrío</t>
  </si>
  <si>
    <t xml:space="preserve">anasalas45@hotmail.com</t>
  </si>
  <si>
    <t xml:space="preserve">Se envía información al correo electrónico  </t>
  </si>
  <si>
    <t xml:space="preserve">Marcos Fajardo</t>
  </si>
  <si>
    <t xml:space="preserve">mya_fali@hotmail.com</t>
  </si>
  <si>
    <t xml:space="preserve">volver a llamar se encuentra ocupado </t>
  </si>
  <si>
    <t xml:space="preserve">Mare Álvarez</t>
  </si>
  <si>
    <t xml:space="preserve">mara_alvarez15@hotmail.com</t>
  </si>
  <si>
    <t xml:space="preserve">Maria Hinostroza Alvarado</t>
  </si>
  <si>
    <t xml:space="preserve">genesishinostroza@hotmail.com</t>
  </si>
  <si>
    <t xml:space="preserve">preinscrpcion en llamada</t>
  </si>
  <si>
    <t xml:space="preserve">Thomas Andres Lozano</t>
  </si>
  <si>
    <t xml:space="preserve">lozanoandres719@gmail.com</t>
  </si>
  <si>
    <t xml:space="preserve">se le envio la informacion por correo electronico ya que no posee numero de tlf</t>
  </si>
  <si>
    <t xml:space="preserve">Veronica amy Mendoza</t>
  </si>
  <si>
    <t xml:space="preserve">Se asesora, se envía información al correo y la dirección de la universidad ya que quiere acercarse directamente  </t>
  </si>
  <si>
    <t xml:space="preserve">Ma Jose Arma</t>
  </si>
  <si>
    <t xml:space="preserve">m_08_06_92@hotmail.com</t>
  </si>
  <si>
    <t xml:space="preserve">Se asesora, se agenda nueva llamada para ver qué ha pensado  </t>
  </si>
  <si>
    <t xml:space="preserve">Enrike Lima</t>
  </si>
  <si>
    <t xml:space="preserve">enrikelimatwi9@gmail.com</t>
  </si>
  <si>
    <t xml:space="preserve">Javier Barrionuevo</t>
  </si>
  <si>
    <t xml:space="preserve">Javierb29@yahoo.es</t>
  </si>
  <si>
    <t xml:space="preserve">Mara Ashqui</t>
  </si>
  <si>
    <t xml:space="preserve">ma.angeles_tita@hotmail.com</t>
  </si>
  <si>
    <t xml:space="preserve">Gema Narvaez</t>
  </si>
  <si>
    <t xml:space="preserve">gemita_27@hotmail.com</t>
  </si>
  <si>
    <t xml:space="preserve">Adriana Stefanie Borbor</t>
  </si>
  <si>
    <t xml:space="preserve">thebest-21@live.com</t>
  </si>
  <si>
    <t xml:space="preserve">Se envia informacion al correo</t>
  </si>
  <si>
    <t xml:space="preserve">Christopher Triana</t>
  </si>
  <si>
    <t xml:space="preserve">Juan Garcia</t>
  </si>
  <si>
    <t xml:space="preserve">Juancgarcia459@gmail.com</t>
  </si>
  <si>
    <t xml:space="preserve">Maili Caiser</t>
  </si>
  <si>
    <t xml:space="preserve">Mailicaiser3@gmail.com</t>
  </si>
  <si>
    <t xml:space="preserve">Xavier Perez Martinez</t>
  </si>
  <si>
    <t xml:space="preserve">perezmartinezxavier@gmail.com</t>
  </si>
  <si>
    <t xml:space="preserve">Geomaira Tacuri</t>
  </si>
  <si>
    <t xml:space="preserve">Yomairaforever@live.com</t>
  </si>
  <si>
    <t xml:space="preserve">Angélica Coque</t>
  </si>
  <si>
    <t xml:space="preserve">mariacoque821@hotmail.com</t>
  </si>
  <si>
    <t xml:space="preserve">David Delgado</t>
  </si>
  <si>
    <t xml:space="preserve">josedhemba1996@gmail.com</t>
  </si>
  <si>
    <t xml:space="preserve">NeVhap Solanho</t>
  </si>
  <si>
    <t xml:space="preserve">Vanessasolano10@gmail.com</t>
  </si>
  <si>
    <t xml:space="preserve">Dario Guerrero</t>
  </si>
  <si>
    <t xml:space="preserve">dario.guerrero@registrocivil.gob.ec</t>
  </si>
  <si>
    <t xml:space="preserve">Se asesora, indica comunicarse cuando desee más información </t>
  </si>
  <si>
    <t xml:space="preserve">Se envía información al correo, se agenda nueva llamada para aclarar posibles dudas sobre la información </t>
  </si>
  <si>
    <t xml:space="preserve">Daylenn Valeska Chavez</t>
  </si>
  <si>
    <t xml:space="preserve">se asesora, indica comunicarse cuando tome decisión </t>
  </si>
  <si>
    <t xml:space="preserve">Stefania Duque</t>
  </si>
  <si>
    <t xml:space="preserve">Stefaniaduque115@hotmail.com</t>
  </si>
  <si>
    <t xml:space="preserve">Ladii Jimenez Torres</t>
  </si>
  <si>
    <t xml:space="preserve">janisa-jt@hotmail.com</t>
  </si>
  <si>
    <t xml:space="preserve">Leonardo Vera Elizalde</t>
  </si>
  <si>
    <t xml:space="preserve">leonardo.vera@eppetroecuador.ec</t>
  </si>
  <si>
    <t xml:space="preserve">Se asesora, se envía información al correo electrónico </t>
  </si>
  <si>
    <t xml:space="preserve">Marvin Vladimir Chichande Salazar</t>
  </si>
  <si>
    <t xml:space="preserve">marvinchichande@hotmail.com</t>
  </si>
  <si>
    <t xml:space="preserve">Kathy Katt</t>
  </si>
  <si>
    <t xml:space="preserve">Rosateneta@hotmail.com</t>
  </si>
  <si>
    <t xml:space="preserve">Gabriela Yessenia Ponce Mena</t>
  </si>
  <si>
    <t xml:space="preserve">gabyponce_2010@hotmail.com</t>
  </si>
  <si>
    <t xml:space="preserve">Jacinto Correa Chalen</t>
  </si>
  <si>
    <t xml:space="preserve">jacintocorrea07@hotmail.com</t>
  </si>
  <si>
    <t xml:space="preserve">Se asesora, indica que es para un hijo, queda en comunicarse para mirar qué ha pensado </t>
  </si>
  <si>
    <t xml:space="preserve">Michael Garcia</t>
  </si>
  <si>
    <t xml:space="preserve">maykdeivid7@gmail.com</t>
  </si>
  <si>
    <t xml:space="preserve">Julio Cesar boza vaca</t>
  </si>
  <si>
    <t xml:space="preserve">juliocesarleo98@gmail.com</t>
  </si>
  <si>
    <t xml:space="preserve">Ginger Galarza Galarza</t>
  </si>
  <si>
    <t xml:space="preserve">ginger.thiago9714@outlook.es</t>
  </si>
  <si>
    <t xml:space="preserve">Negas Elsa Guerra</t>
  </si>
  <si>
    <t xml:space="preserve">egasn@yahoo.com</t>
  </si>
  <si>
    <t xml:space="preserve">se brinda informacion y se envia correo </t>
  </si>
  <si>
    <t xml:space="preserve">Joselyn Guerrero Sarco</t>
  </si>
  <si>
    <t xml:space="preserve">joselyn_guerrero96@hotmail.com</t>
  </si>
  <si>
    <t xml:space="preserve">Contesta llamada se iba a brindar información y cuelga , se realiza segunda llamada y no contesta </t>
  </si>
  <si>
    <t xml:space="preserve">Zanderxitho Morocho</t>
  </si>
  <si>
    <t xml:space="preserve">Alexandermo1999@gmail.com</t>
  </si>
  <si>
    <t xml:space="preserve">yamiileth</t>
  </si>
  <si>
    <t xml:space="preserve">nallely-paco12@hotmail.com</t>
  </si>
  <si>
    <t xml:space="preserve">Hellen Elizabeth Camino Camino</t>
  </si>
  <si>
    <t xml:space="preserve">marielaheli@hotmail.com</t>
  </si>
  <si>
    <t xml:space="preserve">Carlos Anchundia Romero</t>
  </si>
  <si>
    <t xml:space="preserve">carlosar_1991@hotmail.com</t>
  </si>
  <si>
    <t xml:space="preserve">se brinda informacion , usuario indica que esta interesado en ingeniería virtual </t>
  </si>
  <si>
    <t xml:space="preserve">Jessica Guerrero</t>
  </si>
  <si>
    <t xml:space="preserve">jessicaguerrerobravo@outlook.com</t>
  </si>
  <si>
    <t xml:space="preserve">usuaria indica que ya encontró universidad</t>
  </si>
  <si>
    <t xml:space="preserve">fiama muñoz</t>
  </si>
  <si>
    <t xml:space="preserve">fiama_munoz92@hotmail.com</t>
  </si>
  <si>
    <t xml:space="preserve">contesta tercero y indica que la usuaria no se encontraba en el momento , se envía correo </t>
  </si>
  <si>
    <t xml:space="preserve">Stephanie Velasco</t>
  </si>
  <si>
    <t xml:space="preserve">amormelany2013@gmail.com</t>
  </si>
  <si>
    <t xml:space="preserve">SE BRINDA ASESORIA Y SE ENVIA INFORMACION POR WHATSAPP</t>
  </si>
  <si>
    <t xml:space="preserve">Thalia Garofalo</t>
  </si>
  <si>
    <t xml:space="preserve">titavanegalarza@gmail.com</t>
  </si>
  <si>
    <t xml:space="preserve">Gustavo García</t>
  </si>
  <si>
    <t xml:space="preserve">ismael-castag@hotmail.com</t>
  </si>
  <si>
    <t xml:space="preserve">no interesado , cuelga</t>
  </si>
  <si>
    <t xml:space="preserve">Over Piza</t>
  </si>
  <si>
    <t xml:space="preserve">overpiza85@gmail.com</t>
  </si>
  <si>
    <t xml:space="preserve">volver a llamar alas 08:00 pm</t>
  </si>
  <si>
    <t xml:space="preserve">Cristhian Morante</t>
  </si>
  <si>
    <t xml:space="preserve">cmorante@hotmail.es</t>
  </si>
  <si>
    <t xml:space="preserve">Anahi Vargas</t>
  </si>
  <si>
    <t xml:space="preserve">anahivargass920@gmail.com</t>
  </si>
  <si>
    <t xml:space="preserve">Cristopher Poveda Medina</t>
  </si>
  <si>
    <t xml:space="preserve">originalito81@gmail.com</t>
  </si>
  <si>
    <t xml:space="preserve">Willians Gualpa</t>
  </si>
  <si>
    <t xml:space="preserve">gualpadanil@gmail.com</t>
  </si>
  <si>
    <t xml:space="preserve">numero equivocado </t>
  </si>
  <si>
    <t xml:space="preserve">Melanie Lafebre</t>
  </si>
  <si>
    <t xml:space="preserve">paula_lafebre18@hotmail.com</t>
  </si>
  <si>
    <t xml:space="preserve">se brinda asesoría , usuaria indica que va ala Uteg hacer el proceso </t>
  </si>
  <si>
    <t xml:space="preserve">Ximena Ivanna Gustavo</t>
  </si>
  <si>
    <t xml:space="preserve">gusta_tomala@hotmail.com</t>
  </si>
  <si>
    <t xml:space="preserve">Stalin Romero Ordoñez</t>
  </si>
  <si>
    <t xml:space="preserve">alonso09042013@outlook.es</t>
  </si>
  <si>
    <t xml:space="preserve">Duglas Alava saltos</t>
  </si>
  <si>
    <t xml:space="preserve">duglassaltos@hotmail.com</t>
  </si>
  <si>
    <t xml:space="preserve">se brinda asesoría ,se envía correo y usuario indica que va ala Uteg  </t>
  </si>
  <si>
    <t xml:space="preserve">Juan Carlos Chilan</t>
  </si>
  <si>
    <t xml:space="preserve">juankch_79@hotmail.com</t>
  </si>
  <si>
    <t xml:space="preserve">Melanie Aleman</t>
  </si>
  <si>
    <t xml:space="preserve">melaniprinces1@hotmail.com</t>
  </si>
  <si>
    <t xml:space="preserve">Ed Sandoy</t>
  </si>
  <si>
    <t xml:space="preserve">isisandoy@gmail.com</t>
  </si>
  <si>
    <t xml:space="preserve">se brinda asesoría,usuario indica que va ala Uteg </t>
  </si>
  <si>
    <t xml:space="preserve">Ariel Mendez</t>
  </si>
  <si>
    <t xml:space="preserve">arielcitocampos@gmail.com</t>
  </si>
  <si>
    <t xml:space="preserve">se envía informacion al correo</t>
  </si>
  <si>
    <t xml:space="preserve">Genesis Pamela Segura Ayala</t>
  </si>
  <si>
    <t xml:space="preserve">byronbrionesv@hotmail.com</t>
  </si>
  <si>
    <t xml:space="preserve">contesta tercero indica que no se encontraba usuaria en el momento, se envía informacion por correo </t>
  </si>
  <si>
    <t xml:space="preserve">Gregory giron</t>
  </si>
  <si>
    <t xml:space="preserve">gregorygiron55@gmail.com</t>
  </si>
  <si>
    <t xml:space="preserve">se brinda asesoría , se envía correo </t>
  </si>
  <si>
    <t xml:space="preserve">Ginger Moyano</t>
  </si>
  <si>
    <t xml:space="preserve">ginger.thebest1995@hotmail.com</t>
  </si>
  <si>
    <t xml:space="preserve">Melany Palacios</t>
  </si>
  <si>
    <t xml:space="preserve">melanypalacios123456789@gmail.com</t>
  </si>
  <si>
    <t xml:space="preserve">se envia informacion por correo</t>
  </si>
  <si>
    <t xml:space="preserve">Salomon Reasco Chila</t>
  </si>
  <si>
    <t xml:space="preserve">gustavoreasco42@gmail.com</t>
  </si>
  <si>
    <t xml:space="preserve">contesta tercero indica que no se encuentra en el momento el usuario , se envía correo con informacion</t>
  </si>
  <si>
    <t xml:space="preserve">Javier Quijano M.</t>
  </si>
  <si>
    <t xml:space="preserve">javierquijano28@hotmail.com</t>
  </si>
  <si>
    <t xml:space="preserve">Patty Lazo</t>
  </si>
  <si>
    <t xml:space="preserve">patricialazo030@gmail.com</t>
  </si>
  <si>
    <t xml:space="preserve">volver a llamar alas 04:00 pm</t>
  </si>
  <si>
    <t xml:space="preserve">Evelyn Espinrosa</t>
  </si>
  <si>
    <t xml:space="preserve">dcberika94@hotmail.com</t>
  </si>
  <si>
    <t xml:space="preserve">Se envía informacion al correo </t>
  </si>
  <si>
    <t xml:space="preserve">Monis Ccs</t>
  </si>
  <si>
    <t xml:space="preserve">elizabethm30-@hotmail.com</t>
  </si>
  <si>
    <t xml:space="preserve">usuaria indica que la vuelva a llamar alas 06:30pm</t>
  </si>
  <si>
    <t xml:space="preserve">Jose Eduardo Guinanzaca Santos</t>
  </si>
  <si>
    <t xml:space="preserve">eddus_87@hotmail.com</t>
  </si>
  <si>
    <t xml:space="preserve">pascualita pacheco intriago</t>
  </si>
  <si>
    <t xml:space="preserve">pascualitaramonapachecointriago@hotmail.com</t>
  </si>
  <si>
    <t xml:space="preserve">tercero indica que se llame ala usuaria alas 04:00 pm</t>
  </si>
  <si>
    <t xml:space="preserve">Ritha Freire</t>
  </si>
  <si>
    <t xml:space="preserve">ritafreireissa@hotmail.com</t>
  </si>
  <si>
    <t xml:space="preserve">contesta se vuelve a llamar por mala señal y al contestar cuelga </t>
  </si>
  <si>
    <t xml:space="preserve">Gaby Carchi</t>
  </si>
  <si>
    <t xml:space="preserve">gaby-98943@outlook.com</t>
  </si>
  <si>
    <t xml:space="preserve">se envia correo con informacion, llamar nuevamente el 09/02/19</t>
  </si>
  <si>
    <t xml:space="preserve">Marilyn Zambrano</t>
  </si>
  <si>
    <t xml:space="preserve">marilynthebest1395@hotmail.com</t>
  </si>
  <si>
    <t xml:space="preserve">contesta y cuelga en el momento que se le iba a brindar la asesoría</t>
  </si>
  <si>
    <t xml:space="preserve">Geovy Guerrero</t>
  </si>
  <si>
    <t xml:space="preserve">glengeova_87@hotmail.com</t>
  </si>
  <si>
    <t xml:space="preserve">Vanesha Zam</t>
  </si>
  <si>
    <t xml:space="preserve">vanessazd_89@hotmail.com</t>
  </si>
  <si>
    <t xml:space="preserve">Zuly Diaz</t>
  </si>
  <si>
    <t xml:space="preserve">d.zuly@ymail.com</t>
  </si>
  <si>
    <t xml:space="preserve">usuaria indica que no se encuentra interesada </t>
  </si>
  <si>
    <t xml:space="preserve">Dayana Pizarro</t>
  </si>
  <si>
    <t xml:space="preserve">nicoledayi563@gmail.com</t>
  </si>
  <si>
    <t xml:space="preserve">Gabyta Heredia</t>
  </si>
  <si>
    <t xml:space="preserve">jjajah1986@outlook.com</t>
  </si>
  <si>
    <t xml:space="preserve">descartada no interesada , cuelga</t>
  </si>
  <si>
    <t xml:space="preserve">Kaaren Pmero</t>
  </si>
  <si>
    <t xml:space="preserve">arianna27_89@hotmail.es</t>
  </si>
  <si>
    <t xml:space="preserve">usuaria indica que la vuelva a llamar alas 4:00 pm</t>
  </si>
  <si>
    <t xml:space="preserve">Cynthia Sanmartin</t>
  </si>
  <si>
    <t xml:space="preserve">flakita.451996@hotmail.com</t>
  </si>
  <si>
    <t xml:space="preserve">se brinda asesoría y se envía correo</t>
  </si>
  <si>
    <t xml:space="preserve">Luis Ajila</t>
  </si>
  <si>
    <t xml:space="preserve">ajilaluis13@gmail.com</t>
  </si>
  <si>
    <t xml:space="preserve">Lopez Daniel</t>
  </si>
  <si>
    <t xml:space="preserve">cieloazul171952@hotmail.com</t>
  </si>
  <si>
    <t xml:space="preserve">Carmen Reyes</t>
  </si>
  <si>
    <t xml:space="preserve">carmenvalentina1985@hotmail.com</t>
  </si>
  <si>
    <t xml:space="preserve">Iván Sanabria</t>
  </si>
  <si>
    <t xml:space="preserve">sanabriaa62@yahoo.com</t>
  </si>
  <si>
    <t xml:space="preserve">se realiza inscripción , pendiente de pago matricula</t>
  </si>
  <si>
    <t xml:space="preserve">Erika Bastidas</t>
  </si>
  <si>
    <t xml:space="preserve">alexita.12@hotmail.com</t>
  </si>
  <si>
    <t xml:space="preserve">se brinda asesoría y se realiza inscripción, pendiente de documentos y pago de matricula</t>
  </si>
  <si>
    <t xml:space="preserve">francisco canales</t>
  </si>
  <si>
    <t xml:space="preserve">luiscn239@gmail.com</t>
  </si>
  <si>
    <t xml:space="preserve">Ely Rvr</t>
  </si>
  <si>
    <t xml:space="preserve">jennyeliriverac@hotmail.com</t>
  </si>
  <si>
    <t xml:space="preserve">Francisco Ponce</t>
  </si>
  <si>
    <t xml:space="preserve">franciscohk47@hotmail.com</t>
  </si>
  <si>
    <t xml:space="preserve">usuario indica que lo vuelva a llamar ya que se encontraba ocupado,llamar alas 05:30</t>
  </si>
  <si>
    <t xml:space="preserve">Charlie Sarmiento</t>
  </si>
  <si>
    <t xml:space="preserve">mendietalucas3@gmail.com</t>
  </si>
  <si>
    <t xml:space="preserve">Sergio Patricio Lema Velez</t>
  </si>
  <si>
    <t xml:space="preserve">sergiolema2009@hotmail.com</t>
  </si>
  <si>
    <t xml:space="preserve">Hernan Hurtado</t>
  </si>
  <si>
    <t xml:space="preserve">vhurtado@loja.gob.ec</t>
  </si>
  <si>
    <t xml:space="preserve">Daniel Gonzalez</t>
  </si>
  <si>
    <t xml:space="preserve">Danielgrubio@hotmail.com</t>
  </si>
  <si>
    <t xml:space="preserve">Willys Cantos</t>
  </si>
  <si>
    <t xml:space="preserve">myriam.ortizp@hotmail.com</t>
  </si>
  <si>
    <t xml:space="preserve">SE BRINDA ASESORIA Y SE ENVIA CORREO CON INFORMACION</t>
  </si>
  <si>
    <t xml:space="preserve">Esperanza De Lourdes Santillan Castillo</t>
  </si>
  <si>
    <t xml:space="preserve">princepink_89@hotmail.com</t>
  </si>
  <si>
    <t xml:space="preserve">Daniela Arevalo</t>
  </si>
  <si>
    <t xml:space="preserve">danielaarev20@hotmail.com</t>
  </si>
  <si>
    <t xml:space="preserve">descartado (no esta interesada)</t>
  </si>
  <si>
    <t xml:space="preserve">Jorge Tomala Castro</t>
  </si>
  <si>
    <t xml:space="preserve">jotacastro6140@hotmail.com</t>
  </si>
  <si>
    <t xml:space="preserve">Duglas Alava Saltos</t>
  </si>
  <si>
    <t xml:space="preserve">Duglas69armando@gmail.com</t>
  </si>
  <si>
    <t xml:space="preserve">visita la Uteg</t>
  </si>
  <si>
    <t xml:space="preserve">Pedro Villalta Gurumendi</t>
  </si>
  <si>
    <t xml:space="preserve">pedroav_guru@hotmail.com</t>
  </si>
  <si>
    <t xml:space="preserve">Maria Sol Dumani</t>
  </si>
  <si>
    <t xml:space="preserve">Mariasolmiteg@gmail.com</t>
  </si>
  <si>
    <t xml:space="preserve">Ma Isabel CB</t>
  </si>
  <si>
    <t xml:space="preserve">Maiscebe9@hotmail.com</t>
  </si>
  <si>
    <t xml:space="preserve">descartada numero equivocado</t>
  </si>
  <si>
    <t xml:space="preserve">David Celi</t>
  </si>
  <si>
    <t xml:space="preserve">david.c.199512@gmail.com</t>
  </si>
  <si>
    <t xml:space="preserve">no hay numero </t>
  </si>
  <si>
    <t xml:space="preserve">Margaret Alicia Puero Prado</t>
  </si>
  <si>
    <t xml:space="preserve">marga_alicia@yahoo.com</t>
  </si>
  <si>
    <t xml:space="preserve">Se asesora, se envía informacion al correo </t>
  </si>
  <si>
    <t xml:space="preserve">Caroline Caicedo</t>
  </si>
  <si>
    <t xml:space="preserve">jcarolinasaray2121@gmail.com</t>
  </si>
  <si>
    <t xml:space="preserve">Alex Yacelga</t>
  </si>
  <si>
    <t xml:space="preserve">yacelgaalex01@gmail.com</t>
  </si>
  <si>
    <t xml:space="preserve">Aidita Jaime</t>
  </si>
  <si>
    <t xml:space="preserve">Gabby Franco</t>
  </si>
  <si>
    <t xml:space="preserve">gabrielafranco3004@hotmail.com</t>
  </si>
  <si>
    <t xml:space="preserve">Andres Silva</t>
  </si>
  <si>
    <t xml:space="preserve">silvaandres266@gmail.com</t>
  </si>
  <si>
    <t xml:space="preserve">Suárez Katrina</t>
  </si>
  <si>
    <t xml:space="preserve">nancysuarez222@outlookes</t>
  </si>
  <si>
    <t xml:space="preserve">Katty Mancheno</t>
  </si>
  <si>
    <t xml:space="preserve">melissamancheno23@hotmail.com</t>
  </si>
  <si>
    <t xml:space="preserve">Verónica Yes</t>
  </si>
  <si>
    <t xml:space="preserve">maaxdo@gmail.com</t>
  </si>
  <si>
    <t xml:space="preserve">Glengeova_87@hotmail.com</t>
  </si>
  <si>
    <t xml:space="preserve">Joel Guato</t>
  </si>
  <si>
    <t xml:space="preserve">ramiroguato30@gmail.com</t>
  </si>
  <si>
    <t xml:space="preserve">Steven Freddy</t>
  </si>
  <si>
    <t xml:space="preserve">steven_freddy_1995@hotmail.com</t>
  </si>
  <si>
    <t xml:space="preserve">Yoli Yoli Guerrero</t>
  </si>
  <si>
    <t xml:space="preserve">Yoli2636@hotmail.com</t>
  </si>
  <si>
    <t xml:space="preserve">Stalin Amay</t>
  </si>
  <si>
    <t xml:space="preserve">stalinamay@gmail.com</t>
  </si>
  <si>
    <t xml:space="preserve">se envía correo con informacion</t>
  </si>
  <si>
    <t xml:space="preserve">Mayra Anchundia</t>
  </si>
  <si>
    <t xml:space="preserve">Se asesora, indica que va  a ver el costo y se comunicará después</t>
  </si>
  <si>
    <t xml:space="preserve">Se asesora, se envía información al WhatsApp </t>
  </si>
  <si>
    <t xml:space="preserve">Karla Yesenia Arroyo Bustos</t>
  </si>
  <si>
    <t xml:space="preserve">yescas154@hotmail.com</t>
  </si>
  <si>
    <t xml:space="preserve">Pedro Antonio Panoluisa Maji</t>
  </si>
  <si>
    <t xml:space="preserve">pedropanoluisa@gmail.com</t>
  </si>
  <si>
    <t xml:space="preserve">Jenny Karolina</t>
  </si>
  <si>
    <t xml:space="preserve">jenny2196@outlook.es</t>
  </si>
  <si>
    <t xml:space="preserve">Se asesora, desea ingresar por homologación, se envía informacion al Whatsapp </t>
  </si>
  <si>
    <t xml:space="preserve">Xime Prrg</t>
  </si>
  <si>
    <t xml:space="preserve">Ximenaparraga01@gmail.com</t>
  </si>
  <si>
    <t xml:space="preserve">volver a llamar en los horarios de la mañana </t>
  </si>
  <si>
    <t xml:space="preserve">Osler Eloy Torres Jaramillo</t>
  </si>
  <si>
    <t xml:space="preserve">yuyamt2003@hotmail.com</t>
  </si>
  <si>
    <t xml:space="preserve">Raul Vinicio</t>
  </si>
  <si>
    <t xml:space="preserve">abraulviniciogz@outlook.es</t>
  </si>
  <si>
    <t xml:space="preserve">Lenny Pinzón Ludeña</t>
  </si>
  <si>
    <t xml:space="preserve">lenifernanda1984@hotmail.com</t>
  </si>
  <si>
    <t xml:space="preserve">volver a llamar alas 10:30 ya que se encontraba ocupada en el momento </t>
  </si>
  <si>
    <t xml:space="preserve">Michelle Montalvo</t>
  </si>
  <si>
    <t xml:space="preserve">michellemontalvopauta@outlook.com</t>
  </si>
  <si>
    <t xml:space="preserve">se brinda asesoría y se envía correo con informacion</t>
  </si>
  <si>
    <t xml:space="preserve">Jeniffer Cevallos Garcia</t>
  </si>
  <si>
    <t xml:space="preserve">jenitacega@hotmail.com</t>
  </si>
  <si>
    <t xml:space="preserve">se brinda asesoría y se envía correo con informacion de la licenciatura </t>
  </si>
  <si>
    <t xml:space="preserve">Naomi Rivera Suárez</t>
  </si>
  <si>
    <t xml:space="preserve">lousu16@gmail.com</t>
  </si>
  <si>
    <t xml:space="preserve">numero errado </t>
  </si>
  <si>
    <t xml:space="preserve">Mary Perez</t>
  </si>
  <si>
    <t xml:space="preserve">charyp_86@hotmail.com</t>
  </si>
  <si>
    <t xml:space="preserve">volver a llamar se encontraba ocupada en el momento </t>
  </si>
  <si>
    <t xml:space="preserve">Magus Muñoz Garcia</t>
  </si>
  <si>
    <t xml:space="preserve">mariagus0523@hotmail.com</t>
  </si>
  <si>
    <t xml:space="preserve">Darwin Rolando Valencia Montaño</t>
  </si>
  <si>
    <t xml:space="preserve">darvamon@hotmail.com</t>
  </si>
  <si>
    <t xml:space="preserve">se realiza inscripción, pendiente de pago matricula</t>
  </si>
  <si>
    <t xml:space="preserve">Josselin Katherine Gongora cuero</t>
  </si>
  <si>
    <t xml:space="preserve">joselingcuero@gmail.com</t>
  </si>
  <si>
    <t xml:space="preserve">Mariela Velastegui</t>
  </si>
  <si>
    <t xml:space="preserve">genesislajo2011@gmail.com</t>
  </si>
  <si>
    <t xml:space="preserve">Elizabecitap Bsc Melendres J</t>
  </si>
  <si>
    <t xml:space="preserve">escarlethmelendres@hayoo.com</t>
  </si>
  <si>
    <t xml:space="preserve">se brinda asesoría ,usuaria indica que va ala Uteg hacer todo el proceso </t>
  </si>
  <si>
    <t xml:space="preserve">Monica Armijos</t>
  </si>
  <si>
    <t xml:space="preserve">monitasexy93@hotmail.com</t>
  </si>
  <si>
    <t xml:space="preserve">Genesis Itaz Guachizaca</t>
  </si>
  <si>
    <t xml:space="preserve">itaz_0013@hotmail.com</t>
  </si>
  <si>
    <t xml:space="preserve">se brinda asesoría y se envía correo con informacion </t>
  </si>
  <si>
    <t xml:space="preserve">LuisCastro guzmán</t>
  </si>
  <si>
    <t xml:space="preserve">guzmank94@hotmail.es</t>
  </si>
  <si>
    <t xml:space="preserve">Jarma Herrera</t>
  </si>
  <si>
    <t xml:space="preserve">jarmanherrera@outlook.es</t>
  </si>
  <si>
    <t xml:space="preserve">Mikael Jvu</t>
  </si>
  <si>
    <t xml:space="preserve">macb380@gmail.com</t>
  </si>
  <si>
    <t xml:space="preserve">usuario indica que lo llamen nuevamente a partir de las 5:00 pm</t>
  </si>
  <si>
    <t xml:space="preserve">Maria Ines Pico</t>
  </si>
  <si>
    <t xml:space="preserve">mariainespico2000@gmail.com</t>
  </si>
  <si>
    <t xml:space="preserve">contesta tercero y indica que no se encuentra usuaria , se envía informacion por correo </t>
  </si>
  <si>
    <t xml:space="preserve">Liana Zuñiga</t>
  </si>
  <si>
    <t xml:space="preserve">fannyzuiga095@gmail.com</t>
  </si>
  <si>
    <t xml:space="preserve">Dayra Bone</t>
  </si>
  <si>
    <t xml:space="preserve">dayraselena@hotmail.com</t>
  </si>
  <si>
    <t xml:space="preserve">Gabriela Gamboa</t>
  </si>
  <si>
    <t xml:space="preserve">Gabrielagamboaavila@outlook.es</t>
  </si>
  <si>
    <t xml:space="preserve">volver a llamar ya que se encontraba ocupada en el momento</t>
  </si>
  <si>
    <t xml:space="preserve">Luis David Banchon</t>
  </si>
  <si>
    <t xml:space="preserve">luis_ban1994@hotmail.com</t>
  </si>
  <si>
    <t xml:space="preserve">Taty Baque Rivera</t>
  </si>
  <si>
    <t xml:space="preserve">etbr.baque1994@gmail.com</t>
  </si>
  <si>
    <t xml:space="preserve">David Chaluiza</t>
  </si>
  <si>
    <t xml:space="preserve">edgarchaluisa2016@gmail.com</t>
  </si>
  <si>
    <t xml:space="preserve">descartado no interesado</t>
  </si>
  <si>
    <t xml:space="preserve">Harol Andrés Jiménez Segura</t>
  </si>
  <si>
    <t xml:space="preserve">seguraharoldaj@gmail.com</t>
  </si>
  <si>
    <t xml:space="preserve">Hector</t>
  </si>
  <si>
    <t xml:space="preserve">Carranzah98@gmail.com</t>
  </si>
  <si>
    <t xml:space="preserve">se brinda asesoría , usuario indica que se encuentra interesado para entrar mas adelante , se envía correo con informacion</t>
  </si>
  <si>
    <t xml:space="preserve">Keñita PB</t>
  </si>
  <si>
    <t xml:space="preserve">keniaperalta102@outlook.com</t>
  </si>
  <si>
    <t xml:space="preserve">Aura Montaño</t>
  </si>
  <si>
    <t xml:space="preserve">auroraayovi@gmail.com</t>
  </si>
  <si>
    <t xml:space="preserve">jonathanlobo</t>
  </si>
  <si>
    <t xml:space="preserve">jonathanlobo-100@hotmail.com</t>
  </si>
  <si>
    <t xml:space="preserve">se brinda asesoría y se envía informacion por whatsapp</t>
  </si>
  <si>
    <t xml:space="preserve">carolinaj</t>
  </si>
  <si>
    <t xml:space="preserve">jenniffer26172128@gmail.com</t>
  </si>
  <si>
    <t xml:space="preserve">Julio A Orejuela R</t>
  </si>
  <si>
    <t xml:space="preserve">abraham.orejuelaro@hotmail.com</t>
  </si>
  <si>
    <t xml:space="preserve">Kerlly stephannia baquerizo Menendez</t>
  </si>
  <si>
    <t xml:space="preserve">nvioletamenendez@hotmail.com</t>
  </si>
  <si>
    <t xml:space="preserve">Joselyn Navarro</t>
  </si>
  <si>
    <t xml:space="preserve">usuaria indica que la vuelvan a llamar que se encontraba ocupada en el momento</t>
  </si>
  <si>
    <t xml:space="preserve">Rouss Leon Salvajita</t>
  </si>
  <si>
    <t xml:space="preserve">roussl2106@gmail.com</t>
  </si>
  <si>
    <t xml:space="preserve">ELIZABETH MEDINA</t>
  </si>
  <si>
    <t xml:space="preserve">elizabeth2000medina@gmail.com</t>
  </si>
  <si>
    <t xml:space="preserve">Carranza Barboto Jomayra</t>
  </si>
  <si>
    <t xml:space="preserve">joselyn-1993-carranza@hotmail.com</t>
  </si>
  <si>
    <t xml:space="preserve">Se brinda asesoría y se envia correo con informacion </t>
  </si>
  <si>
    <t xml:space="preserve">Martha Herrera</t>
  </si>
  <si>
    <t xml:space="preserve">jazmin88herrera@gmail.com</t>
  </si>
  <si>
    <t xml:space="preserve">Estefania Moreira</t>
  </si>
  <si>
    <t xml:space="preserve">moreira1999g@gmail.com</t>
  </si>
  <si>
    <t xml:space="preserve">ChiiKii Emelexista</t>
  </si>
  <si>
    <t xml:space="preserve">teresiitaliss@hotmail.com</t>
  </si>
  <si>
    <t xml:space="preserve">se brinda asesoria por whatsapp</t>
  </si>
  <si>
    <t xml:space="preserve">Rosa Linda Cortez Suarez</t>
  </si>
  <si>
    <t xml:space="preserve">lilitacortez2012@gmail.com</t>
  </si>
  <si>
    <t xml:space="preserve">no interesada en el momento </t>
  </si>
  <si>
    <t xml:space="preserve">Gabriela Chiriguaya</t>
  </si>
  <si>
    <t xml:space="preserve">kimga2106@gmail.com</t>
  </si>
  <si>
    <t xml:space="preserve">Nikole Constante Espinoza</t>
  </si>
  <si>
    <t xml:space="preserve">nikole_ma1@hotmail.com</t>
  </si>
  <si>
    <t xml:space="preserve">descartada numero equivocado </t>
  </si>
  <si>
    <t xml:space="preserve">Carlos Fernando Cordero</t>
  </si>
  <si>
    <t xml:space="preserve">carlos_cf14@hotmail.com</t>
  </si>
  <si>
    <t xml:space="preserve">se brinda asesoría por vía whatsapp</t>
  </si>
  <si>
    <t xml:space="preserve">Mayi Magaly</t>
  </si>
  <si>
    <t xml:space="preserve">angelapin25@hotmail.com</t>
  </si>
  <si>
    <t xml:space="preserve">se envía correo con informacion de la ingeniería ya que se encontraba en el momento trabajando </t>
  </si>
  <si>
    <t xml:space="preserve">Rossemary Palomeque lozano</t>
  </si>
  <si>
    <t xml:space="preserve">rosmypalomeque@hotmail.com</t>
  </si>
  <si>
    <t xml:space="preserve">se envía correo con informacion de la maestría </t>
  </si>
  <si>
    <t xml:space="preserve">Fabiana Cedeño Ramírez</t>
  </si>
  <si>
    <t xml:space="preserve">fabicede5@gmail.com</t>
  </si>
  <si>
    <t xml:space="preserve">Karito Navarro Garcia</t>
  </si>
  <si>
    <t xml:space="preserve">karenm_navarrog@hotmail.com</t>
  </si>
  <si>
    <t xml:space="preserve">Chelsea Yaguana</t>
  </si>
  <si>
    <t xml:space="preserve">chelseanadia@hotmail.com</t>
  </si>
  <si>
    <t xml:space="preserve">descartada no interesada </t>
  </si>
  <si>
    <t xml:space="preserve">se brinda asesoria</t>
  </si>
  <si>
    <t xml:space="preserve">Michelle Matute</t>
  </si>
  <si>
    <t xml:space="preserve">michu1994matu@gmail.com</t>
  </si>
  <si>
    <t xml:space="preserve">se envía correo con informacion ya que la usuaria indica que se encontraba ocupada en el momento </t>
  </si>
  <si>
    <t xml:space="preserve">Gabriela Sanchez</t>
  </si>
  <si>
    <t xml:space="preserve">gabysanchez_25@hotmail.com</t>
  </si>
  <si>
    <t xml:space="preserve">Se brinda informacion por correo ya que la usuaria se encontraba en el momento manejando </t>
  </si>
  <si>
    <t xml:space="preserve">Angel Daquilema</t>
  </si>
  <si>
    <t xml:space="preserve">anllelo694@hotmail.com</t>
  </si>
  <si>
    <t xml:space="preserve">Over Piza mojica</t>
  </si>
  <si>
    <t xml:space="preserve">Chrystiam Guzman</t>
  </si>
  <si>
    <t xml:space="preserve">chrsytiamg@hotmail.com</t>
  </si>
  <si>
    <t xml:space="preserve">usuario indica que lo llame nuevamente el día 09/02/19 alas 12:30 aya que se encontraba ocupado en el momento</t>
  </si>
  <si>
    <t xml:space="preserve">Gonzalo Eudofilio Pando Belepucha</t>
  </si>
  <si>
    <t xml:space="preserve">gonzalo00pando@gmail.com</t>
  </si>
  <si>
    <t xml:space="preserve">buzon voz</t>
  </si>
  <si>
    <t xml:space="preserve">Rene Guerrero</t>
  </si>
  <si>
    <t xml:space="preserve">renealexander_1990@hotmail.com</t>
  </si>
  <si>
    <t xml:space="preserve">Juan Carlos</t>
  </si>
  <si>
    <t xml:space="preserve">juancarlosmonta1980@hotmail.com</t>
  </si>
  <si>
    <t xml:space="preserve">Ruben Tomala</t>
  </si>
  <si>
    <t xml:space="preserve">huancavilca_2010@hotmail.com</t>
  </si>
  <si>
    <t xml:space="preserve">Tania Alcivar</t>
  </si>
  <si>
    <t xml:space="preserve">tanjasm1313@hotmail.com</t>
  </si>
  <si>
    <t xml:space="preserve">usuaria indica que se le envié correo con informacion,se envía correo </t>
  </si>
  <si>
    <t xml:space="preserve">Liss Guamialamá</t>
  </si>
  <si>
    <t xml:space="preserve">liss.thebest@hotmail.com</t>
  </si>
  <si>
    <t xml:space="preserve">Isabela Bravo Barahona</t>
  </si>
  <si>
    <t xml:space="preserve">silviabravobarahona81@gmail.com</t>
  </si>
  <si>
    <t xml:space="preserve">Se brinda asesoría y se envía correo con informacion</t>
  </si>
  <si>
    <t xml:space="preserve">freddy ramos</t>
  </si>
  <si>
    <t xml:space="preserve">freddyramos86@hotmail.com</t>
  </si>
  <si>
    <t xml:space="preserve">se envía informacion por whatsapp</t>
  </si>
  <si>
    <t xml:space="preserve">Patricia Ferigra</t>
  </si>
  <si>
    <t xml:space="preserve">eliana22fer@live.com</t>
  </si>
  <si>
    <t xml:space="preserve">usuaria indica que la vuelvan a llamar a partir de las 5:30 pm</t>
  </si>
  <si>
    <t xml:space="preserve">Tamy Guerrero</t>
  </si>
  <si>
    <t xml:space="preserve">tgc1023@hotmail.com</t>
  </si>
  <si>
    <t xml:space="preserve">Dennisse Malavé</t>
  </si>
  <si>
    <t xml:space="preserve">dnismalav@hotmail.com</t>
  </si>
  <si>
    <t xml:space="preserve">Jessica Alejandro Martínez</t>
  </si>
  <si>
    <t xml:space="preserve">jesialejandro0@gmail.com</t>
  </si>
  <si>
    <t xml:space="preserve">Dayana Zuñiga</t>
  </si>
  <si>
    <t xml:space="preserve">dayazuniga364@gmail.com</t>
  </si>
  <si>
    <t xml:space="preserve">Boris M</t>
  </si>
  <si>
    <t xml:space="preserve">Maldorock97@gmail.com</t>
  </si>
  <si>
    <t xml:space="preserve">no tiene numero </t>
  </si>
  <si>
    <t xml:space="preserve">Christian Andres</t>
  </si>
  <si>
    <t xml:space="preserve">cris_1132@hotmail.com</t>
  </si>
  <si>
    <t xml:space="preserve">Sally Karina ContrChang</t>
  </si>
  <si>
    <t xml:space="preserve">sainnemanzo@gmail.com</t>
  </si>
  <si>
    <t xml:space="preserve">Se brinda asesoría y se envía informacion por coreo </t>
  </si>
  <si>
    <t xml:space="preserve">Day Pilay</t>
  </si>
  <si>
    <t xml:space="preserve">buenopilay@outlook.es</t>
  </si>
  <si>
    <t xml:space="preserve">Se brinda asesoría de la licenciatura y las dos modalidades que se encuentra interesada , se envía correo con informacion</t>
  </si>
  <si>
    <t xml:space="preserve">mariaescobarburgos1991@gmail.com</t>
  </si>
  <si>
    <t xml:space="preserve">se brinda asesoría </t>
  </si>
  <si>
    <t xml:space="preserve">Nicky AlciParra</t>
  </si>
  <si>
    <t xml:space="preserve">yalilealcivar1991@gmail.com</t>
  </si>
  <si>
    <t xml:space="preserve">descartado no interesado </t>
  </si>
  <si>
    <t xml:space="preserve">Kimb Espinosa</t>
  </si>
  <si>
    <t xml:space="preserve">Kimb_07@hotmail.com</t>
  </si>
  <si>
    <t xml:space="preserve">contesta tercero indica que la usuaria no se encontraba en el momento, se envía correo con informacion</t>
  </si>
  <si>
    <t xml:space="preserve">Katheryn Quijije D Flores</t>
  </si>
  <si>
    <t xml:space="preserve">mkatherynqr16@hotmail.com</t>
  </si>
  <si>
    <t xml:space="preserve">Kevin Rodriguez</t>
  </si>
  <si>
    <t xml:space="preserve">kevin_rodriguez1994@hotmail.com</t>
  </si>
  <si>
    <t xml:space="preserve">Yella Ibarra Ochoa</t>
  </si>
  <si>
    <t xml:space="preserve">yellaibarra8a@hotmail.com</t>
  </si>
  <si>
    <t xml:space="preserve">descartado no esta interesada </t>
  </si>
  <si>
    <t xml:space="preserve">Jenny Riera Carrera</t>
  </si>
  <si>
    <t xml:space="preserve">descartada no interesada por el momento</t>
  </si>
  <si>
    <t xml:space="preserve">Andres Lliguin</t>
  </si>
  <si>
    <t xml:space="preserve">lliguinandres@gmail.com</t>
  </si>
  <si>
    <t xml:space="preserve">Gema Moro</t>
  </si>
  <si>
    <t xml:space="preserve">gemasan85@gmail.com</t>
  </si>
  <si>
    <t xml:space="preserve">Fernando Armijos Feijoo</t>
  </si>
  <si>
    <t xml:space="preserve">jhon_nando1999@hotmail.com</t>
  </si>
  <si>
    <t xml:space="preserve">se brinda asesoría de la licenciaturas y las dos modalidades de interés , se envía correo con informacion</t>
  </si>
  <si>
    <t xml:space="preserve">Bolivar Andres Campoverde Molina</t>
  </si>
  <si>
    <t xml:space="preserve">erhunsa2014@gmail.com</t>
  </si>
  <si>
    <t xml:space="preserve">volver a llamar ya que se encuentra ocupado en el momento </t>
  </si>
  <si>
    <t xml:space="preserve">Alexandra de Calderon</t>
  </si>
  <si>
    <t xml:space="preserve">Misioneraalexandracalderon@yahoo.es</t>
  </si>
  <si>
    <t xml:space="preserve">Se brinda asesoría y envía correo con informacion</t>
  </si>
  <si>
    <t xml:space="preserve">Yolanda Choez de León</t>
  </si>
  <si>
    <t xml:space="preserve">princesitadedios-15@hotmail.com</t>
  </si>
  <si>
    <t xml:space="preserve">Rosi Del Pezo Santos</t>
  </si>
  <si>
    <t xml:space="preserve">rosiliss_23@hotmail.com</t>
  </si>
  <si>
    <t xml:space="preserve">Vanessa Ramirez</t>
  </si>
  <si>
    <t xml:space="preserve">Vane.ramirez_64@hotmail.com</t>
  </si>
  <si>
    <t xml:space="preserve">tercero contesta y brinda segundo numero 0994121888 el cual se va a buzon de voz </t>
  </si>
  <si>
    <t xml:space="preserve">Pablo Campaña</t>
  </si>
  <si>
    <t xml:space="preserve">pabloc.serv95-@hotmail.com</t>
  </si>
  <si>
    <t xml:space="preserve">Bryan Gonzalez</t>
  </si>
  <si>
    <t xml:space="preserve">bdga1997@outlook.es</t>
  </si>
  <si>
    <t xml:space="preserve">Andres Cedeño Valdiviez</t>
  </si>
  <si>
    <t xml:space="preserve">Jenscv@hotmail.com</t>
  </si>
  <si>
    <t xml:space="preserve">se le envio la informacion al correo electronico ya que no posee numero de tlf </t>
  </si>
  <si>
    <t xml:space="preserve">Jessy Pesantez</t>
  </si>
  <si>
    <t xml:space="preserve">pesantez_jessica@yahoo.com</t>
  </si>
  <si>
    <t xml:space="preserve">se realizo preinscripcion en la llamada </t>
  </si>
  <si>
    <t xml:space="preserve">Priscila Tatiana Cardenas Bonilla</t>
  </si>
  <si>
    <t xml:space="preserve">ptcardenas@gmail.com</t>
  </si>
  <si>
    <t xml:space="preserve">tercero indica que la vuelvan a llamar ya que no se encontraba en el momento </t>
  </si>
  <si>
    <t xml:space="preserve">Jama Arauz</t>
  </si>
  <si>
    <t xml:space="preserve">096 261 0590</t>
  </si>
  <si>
    <t xml:space="preserve">Jmiranda@otelo.ec</t>
  </si>
  <si>
    <t xml:space="preserve">descartada ,contesta y cuelga </t>
  </si>
  <si>
    <t xml:space="preserve">NaNdita Litardo</t>
  </si>
  <si>
    <t xml:space="preserve">Fernanda.litardo@gmail.com</t>
  </si>
  <si>
    <t xml:space="preserve">NiKii Basurto</t>
  </si>
  <si>
    <t xml:space="preserve">niky.basurto.loza@gmail.com</t>
  </si>
  <si>
    <t xml:space="preserve">llamar</t>
  </si>
  <si>
    <t xml:space="preserve">se brinda asesoría , volver a llamar para proceder ala inscripción</t>
  </si>
  <si>
    <t xml:space="preserve">Monica Guaman</t>
  </si>
  <si>
    <t xml:space="preserve">monika21zh@gmail.com</t>
  </si>
  <si>
    <t xml:space="preserve">Mercy Romero Vera</t>
  </si>
  <si>
    <t xml:space="preserve">mercy1288@hotmail.es</t>
  </si>
  <si>
    <t xml:space="preserve">Gema romero</t>
  </si>
  <si>
    <t xml:space="preserve">gemjoharome@hotmail.com</t>
  </si>
  <si>
    <t xml:space="preserve">gloria Mero Anchundia</t>
  </si>
  <si>
    <t xml:space="preserve">gloriamero-73@hotmail.com</t>
  </si>
  <si>
    <t xml:space="preserve">usuaria indica que la llame alas 11:30 ya que se encontraba ocupada en el momento</t>
  </si>
  <si>
    <t xml:space="preserve">La Flakis Garcia Zuñiga</t>
  </si>
  <si>
    <t xml:space="preserve">lingar1986@gmail.com</t>
  </si>
  <si>
    <t xml:space="preserve">se brinda asesoria y se envia correo </t>
  </si>
  <si>
    <t xml:space="preserve">Lida Huertas</t>
  </si>
  <si>
    <t xml:space="preserve">lida.huertas.7@gmail.com</t>
  </si>
  <si>
    <t xml:space="preserve">Diego Orozco</t>
  </si>
  <si>
    <t xml:space="preserve">diegofernando7704@gmail.com</t>
  </si>
  <si>
    <t xml:space="preserve">Se brinda la asesoría y se envía correo con informacion </t>
  </si>
  <si>
    <t xml:space="preserve">Annabel Mero</t>
  </si>
  <si>
    <t xml:space="preserve">leonardocevallos10@hotmail.com</t>
  </si>
  <si>
    <t xml:space="preserve">usuaria indica que la vuelva a llamar alas 5:00 pm ya que se encontraba a trabajando en el momento</t>
  </si>
  <si>
    <t xml:space="preserve">Ligia Muñoz</t>
  </si>
  <si>
    <t xml:space="preserve">ligiakim19@gmail.com</t>
  </si>
  <si>
    <t xml:space="preserve">javier-99</t>
  </si>
  <si>
    <t xml:space="preserve">jandryvalencia-2000@hotmail.com</t>
  </si>
  <si>
    <t xml:space="preserve">Lady Lasso</t>
  </si>
  <si>
    <t xml:space="preserve">brujita_llp@hotmail.com</t>
  </si>
  <si>
    <t xml:space="preserve">Henry Alvâradô</t>
  </si>
  <si>
    <t xml:space="preserve">greentyfry@icloud.com</t>
  </si>
  <si>
    <t xml:space="preserve">se brinda informacion por whatsapp</t>
  </si>
  <si>
    <t xml:space="preserve">Isabel Rumbea Valdez</t>
  </si>
  <si>
    <t xml:space="preserve">irumbea@marseguros.com</t>
  </si>
  <si>
    <t xml:space="preserve">buzon de  voz </t>
  </si>
  <si>
    <t xml:space="preserve">Se brinda asesoría ,usuaria indica que va al Uteg hacer todo el proceso </t>
  </si>
  <si>
    <t xml:space="preserve">Dayanna De Jesus Gonzalez Cuero</t>
  </si>
  <si>
    <t xml:space="preserve">gonzalezdayanna123@gmail.com</t>
  </si>
  <si>
    <t xml:space="preserve">Sandy Gomez</t>
  </si>
  <si>
    <t xml:space="preserve">isa_goca@hotmail.com</t>
  </si>
  <si>
    <t xml:space="preserve">usuaria indica que la llame alas 01:00 pm nuevamente ya que se encontraba ocupada en el momento</t>
  </si>
  <si>
    <t xml:space="preserve">Karen Heredero</t>
  </si>
  <si>
    <t xml:space="preserve">andreinaheredero_2001@hotmail.com</t>
  </si>
  <si>
    <t xml:space="preserve">Jennyffer Vega</t>
  </si>
  <si>
    <t xml:space="preserve">rosita_01_linda@hotmail.com</t>
  </si>
  <si>
    <t xml:space="preserve">se envía informacion por correo </t>
  </si>
  <si>
    <t xml:space="preserve">Yomayra Vidal Lozano</t>
  </si>
  <si>
    <t xml:space="preserve">yomayravidal@hotmail.com</t>
  </si>
  <si>
    <t xml:space="preserve">se brinda asesoría y se envía correo con informacion ,se agenda llamada para ver por cual de las dos modalidades va a proceder ala inscripción</t>
  </si>
  <si>
    <t xml:space="preserve">Diana Cuesta</t>
  </si>
  <si>
    <t xml:space="preserve">dianis586@hotmail.com</t>
  </si>
  <si>
    <t xml:space="preserve">Paola Marivel Montesdeoca Avalos</t>
  </si>
  <si>
    <t xml:space="preserve">paolamontesdeoca@ymail.com</t>
  </si>
  <si>
    <t xml:space="preserve">Yara Caicedo</t>
  </si>
  <si>
    <t xml:space="preserve">yaracaicedo10@hotmail.com</t>
  </si>
  <si>
    <t xml:space="preserve">JS A Esthefania</t>
  </si>
  <si>
    <t xml:space="preserve">yulianaesthefania2329@hotmail.com</t>
  </si>
  <si>
    <t xml:space="preserve">иαтαℓy ρєяєz</t>
  </si>
  <si>
    <t xml:space="preserve">natalyp70@gmail.com</t>
  </si>
  <si>
    <t xml:space="preserve">Oscar Reyes</t>
  </si>
  <si>
    <t xml:space="preserve">oscarflore33@gmail.com</t>
  </si>
  <si>
    <t xml:space="preserve">Roger Armando Baren Ponguillo</t>
  </si>
  <si>
    <t xml:space="preserve">roger0981283814@hotmail.com</t>
  </si>
  <si>
    <t xml:space="preserve">Jennifer Banchon</t>
  </si>
  <si>
    <t xml:space="preserve">jennibanchon@hotmail.com</t>
  </si>
  <si>
    <t xml:space="preserve">contesta tercero indica que no se encuentra en el momento la usuaria , se envía correo con informacion</t>
  </si>
  <si>
    <t xml:space="preserve">Norma Sarate</t>
  </si>
  <si>
    <t xml:space="preserve">scarletsarate678@gmail.com</t>
  </si>
  <si>
    <t xml:space="preserve">‎ الصين</t>
  </si>
  <si>
    <t xml:space="preserve">joseline_piza@icloud.com</t>
  </si>
  <si>
    <t xml:space="preserve">Se envía correo con toda la informacion ya que la usuaria indica que se encontraba ocupada en el momento</t>
  </si>
  <si>
    <t xml:space="preserve">Wendy nerexy guanuche meza</t>
  </si>
  <si>
    <t xml:space="preserve">wendy1997-5@hotmail.com</t>
  </si>
  <si>
    <t xml:space="preserve">se realizo inscripción , pendiente de documentos y pago de matricula </t>
  </si>
  <si>
    <t xml:space="preserve">Marina Elizabeth León Ochoa</t>
  </si>
  <si>
    <t xml:space="preserve">ely.2592@gmail.com</t>
  </si>
  <si>
    <t xml:space="preserve">Joel Gomez Mejia</t>
  </si>
  <si>
    <t xml:space="preserve">ujgm-gomez@hotmail.com</t>
  </si>
  <si>
    <t xml:space="preserve">Magdalena Vaca Peña</t>
  </si>
  <si>
    <t xml:space="preserve">magdalena_baby_one@hotmail.com</t>
  </si>
  <si>
    <t xml:space="preserve">Katiuska A.</t>
  </si>
  <si>
    <t xml:space="preserve">delicita007_@live.com</t>
  </si>
  <si>
    <t xml:space="preserve">se le brinda informacion por chat</t>
  </si>
  <si>
    <t xml:space="preserve">Raquel HS</t>
  </si>
  <si>
    <t xml:space="preserve">rr.hs.1994@outlook.es</t>
  </si>
  <si>
    <t xml:space="preserve">se brinda asesoría , indica que se estará comunicando con la Uteg</t>
  </si>
  <si>
    <t xml:space="preserve">josefa moran</t>
  </si>
  <si>
    <t xml:space="preserve">josefamoran7@hotmail.com</t>
  </si>
  <si>
    <t xml:space="preserve">usuaria indica que la vuelva a llamar alas 3:30 pm ya que se encontraba ocupada en el momento</t>
  </si>
  <si>
    <t xml:space="preserve">Chinita Oyuki León Fonseca</t>
  </si>
  <si>
    <t xml:space="preserve">oyukianier18@gmail.com</t>
  </si>
  <si>
    <t xml:space="preserve">Walter Sureño Willa</t>
  </si>
  <si>
    <t xml:space="preserve">walter.willa@hotmail.com</t>
  </si>
  <si>
    <t xml:space="preserve">Yomo Yomo</t>
  </si>
  <si>
    <t xml:space="preserve">carlosbalseka1997@hotmail.com</t>
  </si>
  <si>
    <t xml:space="preserve">usuario indica que lo vuelva a llamar ya que se encentraba ocupado en  el momento</t>
  </si>
  <si>
    <t xml:space="preserve">Nayely Marilú Rosero Rendón</t>
  </si>
  <si>
    <t xml:space="preserve">nayelyroserorendon19@gmail.com</t>
  </si>
  <si>
    <t xml:space="preserve">Charito Carrion Soriano</t>
  </si>
  <si>
    <t xml:space="preserve">rosariocarrion1969@gmail.com</t>
  </si>
  <si>
    <t xml:space="preserve">ıbəth</t>
  </si>
  <si>
    <t xml:space="preserve">Ixam_1995@live.com</t>
  </si>
  <si>
    <t xml:space="preserve">Indica acercarse directamente  a la universidad </t>
  </si>
  <si>
    <t xml:space="preserve">Betsy Auria Martillo</t>
  </si>
  <si>
    <t xml:space="preserve">better-airi@hotmail.com</t>
  </si>
  <si>
    <t xml:space="preserve">buzon  de voz </t>
  </si>
  <si>
    <t xml:space="preserve">Dalton Tomala Lainez</t>
  </si>
  <si>
    <t xml:space="preserve">Jonathan.tomala@outlool.com</t>
  </si>
  <si>
    <t xml:space="preserve">Jose Gaona</t>
  </si>
  <si>
    <t xml:space="preserve">josegaona10@outlook.com</t>
  </si>
  <si>
    <t xml:space="preserve">Manuel Rengifo Macias</t>
  </si>
  <si>
    <t xml:space="preserve">manuel82rengifo@gmail.com</t>
  </si>
  <si>
    <t xml:space="preserve">Se envía correo con informacion ya que el usuario indica que se encontraba ocupado en el momento</t>
  </si>
  <si>
    <t xml:space="preserve">Tatty Orrala Ramos</t>
  </si>
  <si>
    <t xml:space="preserve">tattyorralaramos1993@gmail.com</t>
  </si>
  <si>
    <t xml:space="preserve">Harup Molina</t>
  </si>
  <si>
    <t xml:space="preserve">harupmolina@gmail.com</t>
  </si>
  <si>
    <t xml:space="preserve">Estefy RT</t>
  </si>
  <si>
    <t xml:space="preserve">estefy_riera97@hotmail.com</t>
  </si>
  <si>
    <t xml:space="preserve">Elizabeth De Jaramillo</t>
  </si>
  <si>
    <t xml:space="preserve">diasnora773@gmail.com</t>
  </si>
  <si>
    <t xml:space="preserve">Javier Freire</t>
  </si>
  <si>
    <t xml:space="preserve">patosjavi@hotmail.com</t>
  </si>
  <si>
    <t xml:space="preserve">Se asesora y se envía informacion al WhatsApp para estar en seguimiento </t>
  </si>
  <si>
    <t xml:space="preserve">Rolando Ortiz</t>
  </si>
  <si>
    <t xml:space="preserve">liss_dayan2009@hotmail.com</t>
  </si>
  <si>
    <t xml:space="preserve">Elizabeth Ramirez</t>
  </si>
  <si>
    <t xml:space="preserve">elizabeth332_6@hotmail.com</t>
  </si>
  <si>
    <t xml:space="preserve">Se asesora, queda en comunicarse si tiene alguna otra duda o desea iniciar proceso </t>
  </si>
  <si>
    <t xml:space="preserve">Belen Maria Montalvan Bravo</t>
  </si>
  <si>
    <t xml:space="preserve">mbmontalv@gmail.com</t>
  </si>
  <si>
    <t xml:space="preserve">contesta tercero indica que la usuaria no se encontraba en el momento , se envía correo con informacion</t>
  </si>
  <si>
    <t xml:space="preserve">Gissell Dolu O Ambar</t>
  </si>
  <si>
    <t xml:space="preserve">ambardominguez16@gmail.com</t>
  </si>
  <si>
    <t xml:space="preserve">Wendy Liseth Castro Saa</t>
  </si>
  <si>
    <t xml:space="preserve">wendy21-1990@hotmail.com</t>
  </si>
  <si>
    <t xml:space="preserve">Jessica Vanessa</t>
  </si>
  <si>
    <t xml:space="preserve">jessik-1011@hotmail.com</t>
  </si>
  <si>
    <t xml:space="preserve">No se encuentra interesada por la ubicación de la universidad </t>
  </si>
  <si>
    <t xml:space="preserve">Gabriel Preciado</t>
  </si>
  <si>
    <t xml:space="preserve">gabriel.preciado@yahoo.es</t>
  </si>
  <si>
    <t xml:space="preserve">Se asesora, indica que va  a mirar bien toda la informacion y se comunicara cuando tome una decisión </t>
  </si>
  <si>
    <t xml:space="preserve">Mony Gavidia Flores</t>
  </si>
  <si>
    <t xml:space="preserve">mgavidia2218@hotmail.com</t>
  </si>
  <si>
    <t xml:space="preserve">Tamy Garin</t>
  </si>
  <si>
    <t xml:space="preserve">lapoderosa_tamy@hotmail.com</t>
  </si>
  <si>
    <t xml:space="preserve">usuaria indica que no se encuentra interesada en el momento</t>
  </si>
  <si>
    <t xml:space="preserve">Se asesora, y se agenda nueva llamada para ver qué decisión a tomado </t>
  </si>
  <si>
    <t xml:space="preserve">Bolivar Lozano</t>
  </si>
  <si>
    <t xml:space="preserve">bolivarlozanotorres@outlook.com</t>
  </si>
  <si>
    <t xml:space="preserve">solicito informacion por correo electronico y volver a llamar</t>
  </si>
  <si>
    <t xml:space="preserve">Ronald Leonardo Huayamave Reyes</t>
  </si>
  <si>
    <t xml:space="preserve">ronald_18_20_20@hotmail.com</t>
  </si>
  <si>
    <t xml:space="preserve">jarmaherrera@outlook.es</t>
  </si>
  <si>
    <t xml:space="preserve">solicito informacion por whatsapp y volver a llamar </t>
  </si>
  <si>
    <t xml:space="preserve">Katheryn Janeth Meza Saldaña</t>
  </si>
  <si>
    <t xml:space="preserve">katherynmezasal@gmail.com</t>
  </si>
  <si>
    <t xml:space="preserve">Xavier Santillan</t>
  </si>
  <si>
    <t xml:space="preserve">xa.santillanp@yahoo.es</t>
  </si>
  <si>
    <t xml:space="preserve">Carlos Cantos</t>
  </si>
  <si>
    <t xml:space="preserve">caencapo@msn.com</t>
  </si>
  <si>
    <t xml:space="preserve">volver a llamar se encuentra trabajando </t>
  </si>
  <si>
    <t xml:space="preserve">Chilan Delgado Flor</t>
  </si>
  <si>
    <t xml:space="preserve">nenaflower2010777@gmail.com</t>
  </si>
  <si>
    <t xml:space="preserve">Franklin Solorzano</t>
  </si>
  <si>
    <t xml:space="preserve">mindoft@hotmail.com</t>
  </si>
  <si>
    <t xml:space="preserve">Alejo Gomez</t>
  </si>
  <si>
    <t xml:space="preserve">hectoralejandrogarciagomez@gmail.com</t>
  </si>
  <si>
    <t xml:space="preserve">Esteban Taipe Caballero</t>
  </si>
  <si>
    <t xml:space="preserve">estaica@hotmail.com</t>
  </si>
  <si>
    <t xml:space="preserve">se le envio informacion por whatsapp </t>
  </si>
  <si>
    <t xml:space="preserve">Belenchis Jacome</t>
  </si>
  <si>
    <t xml:space="preserve">Belu_flaquitabj@hotmail.es</t>
  </si>
  <si>
    <t xml:space="preserve">Katherin Vergara</t>
  </si>
  <si>
    <t xml:space="preserve">chiquitita@hotmail.com</t>
  </si>
  <si>
    <t xml:space="preserve">Lourdes Sellan</t>
  </si>
  <si>
    <t xml:space="preserve">lourdes.sellan@deprati.com.ec</t>
  </si>
  <si>
    <t xml:space="preserve">se brinda asesoría y se envia correo con informacion</t>
  </si>
  <si>
    <t xml:space="preserve">Odalys Suárez</t>
  </si>
  <si>
    <t xml:space="preserve">Odalyssuareza97@hotmail.com</t>
  </si>
  <si>
    <t xml:space="preserve">Marjorie Mariuxi Carrion Cortez</t>
  </si>
  <si>
    <t xml:space="preserve">mcarrion_cortez@hotmail.com</t>
  </si>
  <si>
    <t xml:space="preserve">Deniss Cruz</t>
  </si>
  <si>
    <t xml:space="preserve">Carito Flores</t>
  </si>
  <si>
    <t xml:space="preserve">karito_fp@hotmail.com</t>
  </si>
  <si>
    <t xml:space="preserve">Fabian Navia Batioja</t>
  </si>
  <si>
    <t xml:space="preserve">Fabian101810@hotmail.com</t>
  </si>
  <si>
    <t xml:space="preserve">Se asesora y se envía informacion al WhatsApp </t>
  </si>
  <si>
    <t xml:space="preserve">María Garzón</t>
  </si>
  <si>
    <t xml:space="preserve">magarzonparrls@gmail.com</t>
  </si>
  <si>
    <t xml:space="preserve">Se envía correo con informacion del programa </t>
  </si>
  <si>
    <t xml:space="preserve">Carlos Balseka</t>
  </si>
  <si>
    <t xml:space="preserve">Carlosbalseka1997@gmail.com</t>
  </si>
  <si>
    <t xml:space="preserve">Jamileth Araceli Holguin Alava</t>
  </si>
  <si>
    <t xml:space="preserve">Roxana Tumbaco</t>
  </si>
  <si>
    <t xml:space="preserve">Paolita Merchan</t>
  </si>
  <si>
    <t xml:space="preserve">estaba ocupada, se agenda nueva llamada </t>
  </si>
  <si>
    <t xml:space="preserve">Edison German</t>
  </si>
  <si>
    <t xml:space="preserve">edisoncm97@gmail.com</t>
  </si>
  <si>
    <t xml:space="preserve">se brinda asesoría y se envía correo con informacion de las licenciaturas en modalidad online de su interés</t>
  </si>
  <si>
    <t xml:space="preserve">Adrian PT</t>
  </si>
  <si>
    <t xml:space="preserve">Adrianpino2000@outlook.com</t>
  </si>
  <si>
    <t xml:space="preserve">se brinda asesoría por el momento no se encuentra interesado en ingresar</t>
  </si>
  <si>
    <t xml:space="preserve">Edgar Fernando</t>
  </si>
  <si>
    <t xml:space="preserve">edfer75@hotmail.com</t>
  </si>
  <si>
    <t xml:space="preserve">Beatriz Gomez</t>
  </si>
  <si>
    <t xml:space="preserve">acontable.kapic@gmail.com</t>
  </si>
  <si>
    <t xml:space="preserve">Evelyn Solorzano</t>
  </si>
  <si>
    <t xml:space="preserve">evelynsolorzano 6@hotmail.com</t>
  </si>
  <si>
    <t xml:space="preserve">Kerly Arkaya</t>
  </si>
  <si>
    <t xml:space="preserve">ker.nathy92 @gmail.com</t>
  </si>
  <si>
    <t xml:space="preserve">Andres Carpio</t>
  </si>
  <si>
    <t xml:space="preserve">carpio19832@gmail.com</t>
  </si>
  <si>
    <t xml:space="preserve">Selena Rojas</t>
  </si>
  <si>
    <t xml:space="preserve">Jorgito93polaco@hotmail.es</t>
  </si>
  <si>
    <t xml:space="preserve">se brinda asesoría ,usuaria indica que se estará comunicando con nosotros</t>
  </si>
  <si>
    <t xml:space="preserve">Iliana Anabell Paladines Ramirez</t>
  </si>
  <si>
    <t xml:space="preserve">Ipaladinesramirez@gmail.com</t>
  </si>
  <si>
    <t xml:space="preserve">tercero indica que no se encuentra en el momento la usuaria , volver a llamar</t>
  </si>
  <si>
    <t xml:space="preserve">Ninfa Menendez Vaca</t>
  </si>
  <si>
    <t xml:space="preserve">Se brinda asesoría y se realiza inscripción,pendiente de pago matricula y documentos </t>
  </si>
  <si>
    <t xml:space="preserve">Lisette Vanegas Novedades Rkm</t>
  </si>
  <si>
    <t xml:space="preserve">reybebe_1505@hotmail.com</t>
  </si>
  <si>
    <t xml:space="preserve">usuaria indica que le envié correo con informacion ya que se encontraba ocupada en el momento, se envía correo </t>
  </si>
  <si>
    <t xml:space="preserve">Elizabeth Merchan</t>
  </si>
  <si>
    <t xml:space="preserve">johannaelizabethmerchan@gmail.com</t>
  </si>
  <si>
    <t xml:space="preserve">Paola Samaniego</t>
  </si>
  <si>
    <t xml:space="preserve">samaniegopaola117@gmail.com</t>
  </si>
  <si>
    <t xml:space="preserve">Kary Lima</t>
  </si>
  <si>
    <t xml:space="preserve">karitubb@hotmail.com</t>
  </si>
  <si>
    <t xml:space="preserve">Johanna Sanchez Castro</t>
  </si>
  <si>
    <t xml:space="preserve">vero-357@hotmail.com</t>
  </si>
  <si>
    <t xml:space="preserve">Judith Bueno</t>
  </si>
  <si>
    <t xml:space="preserve">judithbueno4128@gmail.com</t>
  </si>
  <si>
    <t xml:space="preserve">usuaria no se encuentra interesada ya que indica que el costo del semestre esta muy costoso ,DESCARTADA </t>
  </si>
  <si>
    <t xml:space="preserve">Jovana VH</t>
  </si>
  <si>
    <t xml:space="preserve">johannabelleecuador@gmail.com</t>
  </si>
  <si>
    <t xml:space="preserve">Se asesora, se agenda nueva llamada para  ver qué ha pensado </t>
  </si>
  <si>
    <t xml:space="preserve">Janina Cortez</t>
  </si>
  <si>
    <t xml:space="preserve">alexier08@hotmail.com</t>
  </si>
  <si>
    <t xml:space="preserve">Yelsin Javier Veliz Gomez</t>
  </si>
  <si>
    <t xml:space="preserve">yelsin_javier@hotmail.com</t>
  </si>
  <si>
    <t xml:space="preserve">Susy Campos</t>
  </si>
  <si>
    <t xml:space="preserve">sscamposm@pucesd.edu.ec</t>
  </si>
  <si>
    <t xml:space="preserve">J Velez Castillo</t>
  </si>
  <si>
    <t xml:space="preserve">velez_castillo316@hotmail.com</t>
  </si>
  <si>
    <t xml:space="preserve">Karina</t>
  </si>
  <si>
    <t xml:space="preserve">mykary02@hormail.com</t>
  </si>
  <si>
    <t xml:space="preserve">Monica Ortiz De Medina</t>
  </si>
  <si>
    <t xml:space="preserve">delisortizarroyo@gmail.com</t>
  </si>
  <si>
    <t xml:space="preserve">Silvana Ortiz</t>
  </si>
  <si>
    <t xml:space="preserve">chiquishivis@hotmail.com</t>
  </si>
  <si>
    <t xml:space="preserve">Juleisy Piedra Piedra</t>
  </si>
  <si>
    <t xml:space="preserve">sleyther_churitos@hotmail.com</t>
  </si>
  <si>
    <t xml:space="preserve">Se  asesora, se agenda nueva llamada para seguir con información </t>
  </si>
  <si>
    <t xml:space="preserve">Lili Erreyes</t>
  </si>
  <si>
    <t xml:space="preserve">erreyes_rivas1994@hotmail.com</t>
  </si>
  <si>
    <t xml:space="preserve">Pin Quiñonez Francisco Justin</t>
  </si>
  <si>
    <t xml:space="preserve">yerfran_unicos.444@hotmail.com</t>
  </si>
  <si>
    <t xml:space="preserve">se brinda asesoría y se realiza inscripción pendiente de pago matricula y documentos</t>
  </si>
  <si>
    <t xml:space="preserve">Yamilex Garcia López</t>
  </si>
  <si>
    <t xml:space="preserve">ecnita1974@gmail.com</t>
  </si>
  <si>
    <t xml:space="preserve">Se envía correo con informacion , ya que la usuaria indica que se encontraba ocupada en el momento</t>
  </si>
  <si>
    <t xml:space="preserve">Gabriel Pico</t>
  </si>
  <si>
    <t xml:space="preserve">gabrielpico3130@gmail.com</t>
  </si>
  <si>
    <t xml:space="preserve">Se brinda asesoria y se envia correo ,va ala uteg </t>
  </si>
  <si>
    <t xml:space="preserve">Marcos Steeven</t>
  </si>
  <si>
    <t xml:space="preserve">marcos_stven@hotmail.com</t>
  </si>
  <si>
    <t xml:space="preserve">Yen Franco</t>
  </si>
  <si>
    <t xml:space="preserve">Daniel2018@outlook.com</t>
  </si>
  <si>
    <t xml:space="preserve">Yan Muve</t>
  </si>
  <si>
    <t xml:space="preserve">yan_1922@hotmail.com</t>
  </si>
  <si>
    <t xml:space="preserve">se brinda asesoría y se realiza inscripción ,pendiente de pago de matricula y documentos</t>
  </si>
  <si>
    <t xml:space="preserve">Jailer Nixon Saltos Moreno</t>
  </si>
  <si>
    <t xml:space="preserve">jailersaltos@Outlook.com</t>
  </si>
  <si>
    <t xml:space="preserve">Jose Alvarado Sotomayor</t>
  </si>
  <si>
    <t xml:space="preserve">j__alvars@hotmail.com</t>
  </si>
  <si>
    <t xml:space="preserve">Annabella Figueroa C</t>
  </si>
  <si>
    <t xml:space="preserve">anyhiquitabella@gmail.com</t>
  </si>
  <si>
    <t xml:space="preserve">Se asesora, indica que va a mirar bien los costos, se comunicara cuando tomé la decisión </t>
  </si>
  <si>
    <t xml:space="preserve">Maria Emilia Abad Perlaza</t>
  </si>
  <si>
    <t xml:space="preserve">Alexandra F Chela</t>
  </si>
  <si>
    <t xml:space="preserve">alexitachela16@hotmail.com</t>
  </si>
  <si>
    <t xml:space="preserve">se brinda asesoría , se agenda llamada para ver si procede la inscripción</t>
  </si>
  <si>
    <t xml:space="preserve">Pierina Chica Flores</t>
  </si>
  <si>
    <t xml:space="preserve">pierinachica95@hotmail.com</t>
  </si>
  <si>
    <t xml:space="preserve">Alejandra Cordero</t>
  </si>
  <si>
    <t xml:space="preserve">gataaleja@hotmail.es</t>
  </si>
  <si>
    <t xml:space="preserve">JOSELYN ANGULO HARO</t>
  </si>
  <si>
    <t xml:space="preserve">mikecanga@gmail.com</t>
  </si>
  <si>
    <t xml:space="preserve">se brinda asesoria </t>
  </si>
  <si>
    <t xml:space="preserve">La Katita</t>
  </si>
  <si>
    <t xml:space="preserve">elgatovera@hotmail.com</t>
  </si>
  <si>
    <t xml:space="preserve">Gustavo Espin Calderon</t>
  </si>
  <si>
    <t xml:space="preserve">gus_espin_calderon@hotmail.com</t>
  </si>
  <si>
    <t xml:space="preserve">Mafer Llaque</t>
  </si>
  <si>
    <t xml:space="preserve">mafercitallake@gmail.com</t>
  </si>
  <si>
    <t xml:space="preserve">se brinda asesoria y envia correo con informacion</t>
  </si>
  <si>
    <t xml:space="preserve">Brayan Alfredo Piguave Arias</t>
  </si>
  <si>
    <t xml:space="preserve">alfredopigu@hotmail.com</t>
  </si>
  <si>
    <t xml:space="preserve">Angie Parada</t>
  </si>
  <si>
    <t xml:space="preserve">angie.181@hotmail.com</t>
  </si>
  <si>
    <t xml:space="preserve">Laura Ramos</t>
  </si>
  <si>
    <t xml:space="preserve">l.ramos.p07.89@gmail.com</t>
  </si>
  <si>
    <t xml:space="preserve">Johanna Martinez</t>
  </si>
  <si>
    <t xml:space="preserve">johanna_martinez@hotmail.es</t>
  </si>
  <si>
    <t xml:space="preserve">HikaRi CoPi</t>
  </si>
  <si>
    <t xml:space="preserve">cinthya_2120@yahoo.com</t>
  </si>
  <si>
    <t xml:space="preserve">Ronny Carranza</t>
  </si>
  <si>
    <t xml:space="preserve">ronnycarranza07@gmail.com</t>
  </si>
  <si>
    <t xml:space="preserve">Se asesora, indica acercarse directamente a l auteg </t>
  </si>
  <si>
    <t xml:space="preserve">Belen Caicedo</t>
  </si>
  <si>
    <t xml:space="preserve">Bcaicedo.ineval@gmail.com</t>
  </si>
  <si>
    <t xml:space="preserve">descartada no interesada</t>
  </si>
  <si>
    <t xml:space="preserve">Diana Ordoñez</t>
  </si>
  <si>
    <t xml:space="preserve">dianaflak_993@hotmail.com</t>
  </si>
  <si>
    <t xml:space="preserve">Juan carlos</t>
  </si>
  <si>
    <t xml:space="preserve">cristoteama.14@hotmail.com</t>
  </si>
  <si>
    <t xml:space="preserve">contesta tercero indica que no se encuentra usuario en el momento , se envía correo con informacion</t>
  </si>
  <si>
    <t xml:space="preserve">Sara Cepeda</t>
  </si>
  <si>
    <t xml:space="preserve">veronica.26.cepeda@gmail.com</t>
  </si>
  <si>
    <t xml:space="preserve">Jeniffer Mosquera</t>
  </si>
  <si>
    <t xml:space="preserve">jeniffer-mosquera25@hotmail.com</t>
  </si>
  <si>
    <t xml:space="preserve">Dannya Schott</t>
  </si>
  <si>
    <t xml:space="preserve">Sdannya09@hotmail.com</t>
  </si>
  <si>
    <t xml:space="preserve">Mario Zurita</t>
  </si>
  <si>
    <t xml:space="preserve">mario_dado99@hotmail.com</t>
  </si>
  <si>
    <t xml:space="preserve">Se asesora, indica que ya le habían brindado la informacion al WhatsApp </t>
  </si>
  <si>
    <t xml:space="preserve">Alba Maria</t>
  </si>
  <si>
    <t xml:space="preserve">alba_tua@hotmail.com</t>
  </si>
  <si>
    <t xml:space="preserve">se brinda asesoría usuaria indica que va ala Uteg hacer el proceso </t>
  </si>
  <si>
    <t xml:space="preserve">maria jose sotomayor cedeño</t>
  </si>
  <si>
    <t xml:space="preserve">1718053265maria@gmail.com</t>
  </si>
  <si>
    <t xml:space="preserve">Jhonny Quintana</t>
  </si>
  <si>
    <t xml:space="preserve">jonnyquintana@hotmail.com</t>
  </si>
  <si>
    <t xml:space="preserve">Maximo Roberto Tigrero Rodriguez</t>
  </si>
  <si>
    <t xml:space="preserve">robertotigrero94_@hotmail.com</t>
  </si>
  <si>
    <t xml:space="preserve">Se asesora, indica que va a evaluar los precios y va a organizar horarios para tomar la carrera, se comunicará al WhastApp cuando desee iniciar proceso  </t>
  </si>
  <si>
    <t xml:space="preserve">Angela Nereida Granados Lainez</t>
  </si>
  <si>
    <t xml:space="preserve">Elkinodalis14@hoimet.con</t>
  </si>
  <si>
    <t xml:space="preserve">Nayelie Palacios</t>
  </si>
  <si>
    <t xml:space="preserve">nayelie.palacios@gmail.com</t>
  </si>
  <si>
    <t xml:space="preserve">Lizbeth Tatiana</t>
  </si>
  <si>
    <t xml:space="preserve">lizbsc86@hotmail.com</t>
  </si>
  <si>
    <t xml:space="preserve">Se asesora, desea ingresar para el próximo ciclo </t>
  </si>
  <si>
    <t xml:space="preserve">Wilfrido Escobar</t>
  </si>
  <si>
    <t xml:space="preserve">wilfrido1969@hotmail.com</t>
  </si>
  <si>
    <t xml:space="preserve">Leonidas Marlon Ayuy</t>
  </si>
  <si>
    <t xml:space="preserve">leonidasayuy@hotmail.com</t>
  </si>
  <si>
    <t xml:space="preserve">Wilson Vazquez</t>
  </si>
  <si>
    <t xml:space="preserve">wilsonalfredov@yahoo.com</t>
  </si>
  <si>
    <t xml:space="preserve">usuario indica que le envía informacion a su correo ya que en el momentos se encontraba ocupado</t>
  </si>
  <si>
    <t xml:space="preserve">Karencita Mejia</t>
  </si>
  <si>
    <t xml:space="preserve">karen20mejia17@gmail.com</t>
  </si>
  <si>
    <t xml:space="preserve">Wagner N. Palomeque</t>
  </si>
  <si>
    <t xml:space="preserve">wagnerpalomeque77@hotmail.com</t>
  </si>
  <si>
    <t xml:space="preserve">No Pudo Recibir La InformaciÓn Por Llamada, Se EnvÍa Al Whastapp </t>
  </si>
  <si>
    <t xml:space="preserve">Cristian Paredes</t>
  </si>
  <si>
    <t xml:space="preserve">christianparedes1985@gmail.com</t>
  </si>
  <si>
    <t xml:space="preserve">se asesora, se envía informacion al correo, desea ingresar por homologación </t>
  </si>
  <si>
    <t xml:space="preserve">Lizbeth Vanessa Montoya</t>
  </si>
  <si>
    <t xml:space="preserve">Montoya.lizbeth2@gmail.con</t>
  </si>
  <si>
    <t xml:space="preserve">Rocio Jacome Ruiz</t>
  </si>
  <si>
    <t xml:space="preserve">rjacome_emelec@hotmail.com</t>
  </si>
  <si>
    <t xml:space="preserve">Bibiana Asanza Ordóñez</t>
  </si>
  <si>
    <t xml:space="preserve">jobiasor0810@hotmail.com</t>
  </si>
  <si>
    <t xml:space="preserve">Adrian Alexis Baque</t>
  </si>
  <si>
    <t xml:space="preserve">alexbq-93@hotmail.com</t>
  </si>
  <si>
    <t xml:space="preserve">Mario Alejandro Robles Magyaroff</t>
  </si>
  <si>
    <t xml:space="preserve">archiveprocess@gmail.com</t>
  </si>
  <si>
    <t xml:space="preserve">Steven Meneses</t>
  </si>
  <si>
    <t xml:space="preserve">politecnico88@gmail.com</t>
  </si>
  <si>
    <t xml:space="preserve">Carlos Lucin Gonzabay</t>
  </si>
  <si>
    <t xml:space="preserve">Anylu CJ</t>
  </si>
  <si>
    <t xml:space="preserve">Mauro Siguenza Saenz</t>
  </si>
  <si>
    <t xml:space="preserve">Briggette Domenica Sánchez</t>
  </si>
  <si>
    <t xml:space="preserve">SE BRINDA ASESORÍA Y SE ENVÍA CORREO </t>
  </si>
  <si>
    <t xml:space="preserve">Mary Erira</t>
  </si>
  <si>
    <t xml:space="preserve">Pita Giss</t>
  </si>
  <si>
    <t xml:space="preserve">se brinda asesoría , usuaria indica que va ala Uteg hacer todo el proceso </t>
  </si>
  <si>
    <t xml:space="preserve">Zona Tita</t>
  </si>
  <si>
    <t xml:space="preserve">Se asesora, es para el hijo, indica acercarse directamente a la universidad </t>
  </si>
  <si>
    <t xml:space="preserve">Kenia Xiomara Muñoz Saltos</t>
  </si>
  <si>
    <t xml:space="preserve">Maru Benitez</t>
  </si>
  <si>
    <t xml:space="preserve">Dk Pincay</t>
  </si>
  <si>
    <t xml:space="preserve">correo dkat15@hotmail.com</t>
  </si>
  <si>
    <t xml:space="preserve">Ximena Valarezo Pacheco</t>
  </si>
  <si>
    <t xml:space="preserve">ximena2888@hotmail.com</t>
  </si>
  <si>
    <t xml:space="preserve">Se asesora, se envía informacion al WhatsApp, indica que la maestría tiene mucha duración </t>
  </si>
  <si>
    <t xml:space="preserve">Felix Guanang</t>
  </si>
  <si>
    <t xml:space="preserve">Beatriz Alvarado</t>
  </si>
  <si>
    <t xml:space="preserve">bachi-20@homail.com</t>
  </si>
  <si>
    <t xml:space="preserve">se brinda asesoría y se realiza inscripción para homologacion</t>
  </si>
  <si>
    <t xml:space="preserve">Navi Jeka</t>
  </si>
  <si>
    <t xml:space="preserve">Jessicanavia2191@yahoo.com</t>
  </si>
  <si>
    <t xml:space="preserve">usuaria no interesada , interesada en gastronomía </t>
  </si>
  <si>
    <t xml:space="preserve">Jefferson López Montalván</t>
  </si>
  <si>
    <t xml:space="preserve">jefferson.lopez84@gmail.com</t>
  </si>
  <si>
    <t xml:space="preserve">Se brinda asesoría ,se realiza inscripción para homologacion</t>
  </si>
  <si>
    <t xml:space="preserve">Angel Figueroa</t>
  </si>
  <si>
    <t xml:space="preserve">anthony-175@outlook.com</t>
  </si>
  <si>
    <t xml:space="preserve">Geovanna Guillèn</t>
  </si>
  <si>
    <t xml:space="preserve">geoguillen2016@gmail.com</t>
  </si>
  <si>
    <t xml:space="preserve">Laura Lucero</t>
  </si>
  <si>
    <t xml:space="preserve">VelL Castro</t>
  </si>
  <si>
    <t xml:space="preserve">vkcastro1982@gmail.com</t>
  </si>
  <si>
    <t xml:space="preserve">Gris Quiñonez</t>
  </si>
  <si>
    <t xml:space="preserve">grisquinonezbone@gmail.com</t>
  </si>
  <si>
    <t xml:space="preserve">Alex Quezada</t>
  </si>
  <si>
    <t xml:space="preserve">alexstalinquezadatello@gmail.com</t>
  </si>
  <si>
    <t xml:space="preserve">LOURDESValentina Rodríguez cusme</t>
  </si>
  <si>
    <t xml:space="preserve">fernando2018@gmail.com</t>
  </si>
  <si>
    <t xml:space="preserve">Stefany Sanizaca</t>
  </si>
  <si>
    <t xml:space="preserve">claudi_esb@hotmail.com</t>
  </si>
  <si>
    <t xml:space="preserve">Asbéll</t>
  </si>
  <si>
    <t xml:space="preserve">jhonnymoreno19@outlook.com</t>
  </si>
  <si>
    <t xml:space="preserve">Cinthia Mero A.</t>
  </si>
  <si>
    <t xml:space="preserve">lomi1303@hotmail.com</t>
  </si>
  <si>
    <t xml:space="preserve">Layli Donoso</t>
  </si>
  <si>
    <t xml:space="preserve">k-rolinad@hotmail.com</t>
  </si>
  <si>
    <t xml:space="preserve">Kenya Perez Vaca</t>
  </si>
  <si>
    <t xml:space="preserve">angelakenya1981@hotmail.com</t>
  </si>
  <si>
    <t xml:space="preserve">Se brinda asesoría , usuaria indica que se estará contando con nosotros por whatsapp</t>
  </si>
  <si>
    <t xml:space="preserve">Henry Adrian Guaman Ortega</t>
  </si>
  <si>
    <t xml:space="preserve">guamanhenry827@hotmail.com</t>
  </si>
  <si>
    <t xml:space="preserve">Maria Jose Rojas Nolas</t>
  </si>
  <si>
    <t xml:space="preserve">mariarojas1998@email.com</t>
  </si>
  <si>
    <t xml:space="preserve">Alexa Almeiida</t>
  </si>
  <si>
    <t xml:space="preserve">maryuri.mero.a@gmail.com</t>
  </si>
  <si>
    <t xml:space="preserve">edinson leonardo</t>
  </si>
  <si>
    <t xml:space="preserve">edinsonleonardo@live.com</t>
  </si>
  <si>
    <t xml:space="preserve">MARÍA JOSÉ JIMÉNEZ BARCOS</t>
  </si>
  <si>
    <t xml:space="preserve">majito92_11@hotmail.com</t>
  </si>
  <si>
    <t xml:space="preserve">se brinda asesoría ,usuaria indica que va directamente ala uteg</t>
  </si>
  <si>
    <t xml:space="preserve">Kerly Morales</t>
  </si>
  <si>
    <t xml:space="preserve">karla-041@hotmail.es</t>
  </si>
  <si>
    <t xml:space="preserve">se brinda asesoría y se realiza inscripción , pendiente de pago de matricula y documentos </t>
  </si>
  <si>
    <t xml:space="preserve">Emily Ortega</t>
  </si>
  <si>
    <t xml:space="preserve">emiiortega36@gmail.com</t>
  </si>
  <si>
    <t xml:space="preserve">Lizzy Valentina Barre Muñoz</t>
  </si>
  <si>
    <t xml:space="preserve">dianabarrebravo@hotmail.com</t>
  </si>
  <si>
    <t xml:space="preserve">Angela Mera</t>
  </si>
  <si>
    <t xml:space="preserve">angelamera854@gmail.com</t>
  </si>
  <si>
    <t xml:space="preserve">Jaki SG</t>
  </si>
  <si>
    <t xml:space="preserve">ladisigu3188@gmail.com</t>
  </si>
  <si>
    <t xml:space="preserve">Rosi Paladinez</t>
  </si>
  <si>
    <t xml:space="preserve">rosi_2783@hotmail.com</t>
  </si>
  <si>
    <t xml:space="preserve">Se envía correo con informacion ya que la usuaria indica que se encontraba ocupada en el momento </t>
  </si>
  <si>
    <t xml:space="preserve">Evelyn Lilibeth Faggioni Holguin</t>
  </si>
  <si>
    <t xml:space="preserve">evelynfaggioni1@gmail.com</t>
  </si>
  <si>
    <t xml:space="preserve">Barcelona Gara Julio</t>
  </si>
  <si>
    <t xml:space="preserve">juliosigcha226@gmail.com</t>
  </si>
  <si>
    <t xml:space="preserve">se envía informacion por whatsapp, indica que va ala uteg</t>
  </si>
  <si>
    <t xml:space="preserve">Karla Yesi</t>
  </si>
  <si>
    <t xml:space="preserve">karlitayesi2@hotmail.com</t>
  </si>
  <si>
    <t xml:space="preserve">BLANCA AURORA AGUIRRE ZAMORA</t>
  </si>
  <si>
    <t xml:space="preserve">auroraguirre1966@hotmail.com</t>
  </si>
  <si>
    <t xml:space="preserve">usuaria indica que la vuelvan a llamar después ay que se encontraba duchándose </t>
  </si>
  <si>
    <t xml:space="preserve">ALEJADRO ELADIO CERCADO MUÑOZ</t>
  </si>
  <si>
    <t xml:space="preserve">alejandroeladiocercadomunoz@gmail.com</t>
  </si>
  <si>
    <t xml:space="preserve">Anthony vera</t>
  </si>
  <si>
    <t xml:space="preserve">antonyjoelveracontreras@gmail.com</t>
  </si>
  <si>
    <t xml:space="preserve">Carlos Machuca</t>
  </si>
  <si>
    <t xml:space="preserve">carmach84@hotmail.com</t>
  </si>
  <si>
    <t xml:space="preserve">se brinda asesoría y se realiza inscripción , pendiente de documentos y de pago matricula</t>
  </si>
  <si>
    <t xml:space="preserve">Giomayra Leon Cisneros</t>
  </si>
  <si>
    <t xml:space="preserve">giomayraleonc@gmail.com</t>
  </si>
  <si>
    <t xml:space="preserve">Se Asesora, se envía información al correo </t>
  </si>
  <si>
    <t xml:space="preserve">Andres Valdez Lauzó</t>
  </si>
  <si>
    <t xml:space="preserve">guatin_18@hotmail.com</t>
  </si>
  <si>
    <t xml:space="preserve">David Vera</t>
  </si>
  <si>
    <t xml:space="preserve">davidvera91@hotmail.com</t>
  </si>
  <si>
    <t xml:space="preserve">Dario Xavier Rivas Fajardo</t>
  </si>
  <si>
    <t xml:space="preserve">elxavi15labhg@gmail.com</t>
  </si>
  <si>
    <t xml:space="preserve">Jeannen Pilozo Buchelli</t>
  </si>
  <si>
    <t xml:space="preserve">jeannen_caropi@hotmail.com</t>
  </si>
  <si>
    <t xml:space="preserve">Paul Merchan</t>
  </si>
  <si>
    <t xml:space="preserve">niger90_8@hotmail.com</t>
  </si>
  <si>
    <t xml:space="preserve">Se asesora, indica que el horario de las ingenierías no le da, va a mirar cómo  organiza y se agenda nueva llamada para ver si va a  tomarla carrera </t>
  </si>
  <si>
    <t xml:space="preserve">Karla Mendez</t>
  </si>
  <si>
    <t xml:space="preserve">Karlamendez11122000@gmail.com</t>
  </si>
  <si>
    <t xml:space="preserve">Erika Sanchez Delgado</t>
  </si>
  <si>
    <t xml:space="preserve">erika1160@hotmail.com</t>
  </si>
  <si>
    <t xml:space="preserve">Quirola Ramiro Parrales</t>
  </si>
  <si>
    <t xml:space="preserve">quirolaantoni@gmail.com</t>
  </si>
  <si>
    <t xml:space="preserve">Antonio Vera Pinela</t>
  </si>
  <si>
    <t xml:space="preserve">antoniovera5official@gmail.com</t>
  </si>
  <si>
    <t xml:space="preserve">Johana Nevarez</t>
  </si>
  <si>
    <t xml:space="preserve">johana.nevtez@outlook.com.ae</t>
  </si>
  <si>
    <t xml:space="preserve">No estaba, se deja mensaje a tercero </t>
  </si>
  <si>
    <t xml:space="preserve">Jessy Ramirez</t>
  </si>
  <si>
    <t xml:space="preserve">jessy_ramirez03@hotmail.com</t>
  </si>
  <si>
    <t xml:space="preserve">Gabriela Ibarra</t>
  </si>
  <si>
    <t xml:space="preserve">gi99274@gmail.com</t>
  </si>
  <si>
    <t xml:space="preserve">Liss Ladines</t>
  </si>
  <si>
    <t xml:space="preserve">lisset86269@hotmail.com</t>
  </si>
  <si>
    <t xml:space="preserve">Se asesora, indica que desea acercarse directamente a la universidad el día lunes </t>
  </si>
  <si>
    <t xml:space="preserve">Luisillo Falcones Alvarez</t>
  </si>
  <si>
    <t xml:space="preserve">luismiguelfa_@hotmail.com</t>
  </si>
  <si>
    <t xml:space="preserve">Se asesora, se agenda nueva llamada para ver que decisión a tomado  </t>
  </si>
  <si>
    <t xml:space="preserve">Washington Quiñonez</t>
  </si>
  <si>
    <t xml:space="preserve">jap_crazy_45@hotmail.com</t>
  </si>
  <si>
    <t xml:space="preserve">Nadia de los Ángeles flores Morán</t>
  </si>
  <si>
    <t xml:space="preserve">loorjean1995@gmail.com</t>
  </si>
  <si>
    <t xml:space="preserve">Yamilex Mendoza</t>
  </si>
  <si>
    <t xml:space="preserve">ketsha2214@gmail.com</t>
  </si>
  <si>
    <t xml:space="preserve">briggettesan.04@gmail.com</t>
  </si>
  <si>
    <t xml:space="preserve">Se encuentre ya en otra universidad </t>
  </si>
  <si>
    <t xml:space="preserve">Melina Salmerón</t>
  </si>
  <si>
    <t xml:space="preserve">liinasalmeron@hotmail.com</t>
  </si>
  <si>
    <t xml:space="preserve">Barbarita Echeverria</t>
  </si>
  <si>
    <t xml:space="preserve">barbara_8493@live.com</t>
  </si>
  <si>
    <t xml:space="preserve">Ale Ibeth</t>
  </si>
  <si>
    <t xml:space="preserve">ixam_1995@live.com</t>
  </si>
  <si>
    <t xml:space="preserve">Confirma asistencia para el lunes o martes </t>
  </si>
  <si>
    <t xml:space="preserve">wester_machado@hotmail.com</t>
  </si>
  <si>
    <t xml:space="preserve">Raul Plaza</t>
  </si>
  <si>
    <t xml:space="preserve">alexbarcelona22@yahoo.es</t>
  </si>
  <si>
    <t xml:space="preserve">Rodríguez wilber</t>
  </si>
  <si>
    <t xml:space="preserve">wmendoza6317@gmail.com</t>
  </si>
  <si>
    <t xml:space="preserve">Xavy A. Benavides</t>
  </si>
  <si>
    <t xml:space="preserve">danzaxavy@hotmail.com</t>
  </si>
  <si>
    <t xml:space="preserve">Edison Ivan Farinango</t>
  </si>
  <si>
    <t xml:space="preserve">edisonivan84@hotmail.com</t>
  </si>
  <si>
    <t xml:space="preserve">Estaba ocupado, se agenda nueva nueva llamada </t>
  </si>
  <si>
    <t xml:space="preserve">Ernaldo Requenes Torres</t>
  </si>
  <si>
    <t xml:space="preserve">reinerio1970@hotmail.com</t>
  </si>
  <si>
    <t xml:space="preserve">Se envía información al WhatSapp, se le complicaba recibir la llamada.  </t>
  </si>
  <si>
    <t xml:space="preserve">Apolo Monikithap Mlac</t>
  </si>
  <si>
    <t xml:space="preserve">tubebemoni@hotmail.com</t>
  </si>
  <si>
    <t xml:space="preserve">No se encontraba, se deja mensaje a tercero </t>
  </si>
  <si>
    <t xml:space="preserve">Edwin Fierval</t>
  </si>
  <si>
    <t xml:space="preserve">fierper@yahoo.es</t>
  </si>
  <si>
    <t xml:space="preserve">Erik Andrade</t>
  </si>
  <si>
    <t xml:space="preserve">ganchozoerik@gmail.com</t>
  </si>
  <si>
    <t xml:space="preserve">Alex Alcivar</t>
  </si>
  <si>
    <t xml:space="preserve">alexfabian335@gmail.com</t>
  </si>
  <si>
    <t xml:space="preserve">Franklin Kastro</t>
  </si>
  <si>
    <t xml:space="preserve">aragon.liliana123@icloud.com</t>
  </si>
  <si>
    <t xml:space="preserve">Viviana Rivera</t>
  </si>
  <si>
    <t xml:space="preserve">viviana.rivera4060@gmail.com</t>
  </si>
  <si>
    <t xml:space="preserve">Laura Loor Loor</t>
  </si>
  <si>
    <t xml:space="preserve">lubiloor88@Gmail.com</t>
  </si>
  <si>
    <t xml:space="preserve">No está interesada </t>
  </si>
  <si>
    <t xml:space="preserve">Katherine Lisbeth Vera Parraga</t>
  </si>
  <si>
    <t xml:space="preserve">katlis_vepa@hotmail.com</t>
  </si>
  <si>
    <t xml:space="preserve">Belinda Toala</t>
  </si>
  <si>
    <t xml:space="preserve">emeli.solis@yahoo.com</t>
  </si>
  <si>
    <t xml:space="preserve">Bansk Nicole</t>
  </si>
  <si>
    <t xml:space="preserve">cs38864@gmail.com</t>
  </si>
  <si>
    <t xml:space="preserve">Se asesora sobre las 3 modalidades, se agenda nueva llamada para ver qué decisión ha tomado  </t>
  </si>
  <si>
    <t xml:space="preserve">Alexander Garces</t>
  </si>
  <si>
    <t xml:space="preserve">edison 6947@hotmail.com</t>
  </si>
  <si>
    <t xml:space="preserve">Se asesora, indica que la maestría está muy cara </t>
  </si>
  <si>
    <t xml:space="preserve">Gise Zambrano</t>
  </si>
  <si>
    <t xml:space="preserve">guiselazambrano@hotmail.com</t>
  </si>
  <si>
    <t xml:space="preserve">Se asesora, y se envía informacion al correo </t>
  </si>
  <si>
    <t xml:space="preserve">ailen-viteri@hotmail.com</t>
  </si>
  <si>
    <t xml:space="preserve">Se asesora, indica que lo va a hablar con el esposo y se comunicará cuando tomé la decisión </t>
  </si>
  <si>
    <t xml:space="preserve">Ari Alay Rodriguez</t>
  </si>
  <si>
    <t xml:space="preserve">arianaalejandra97@hotmail.com</t>
  </si>
  <si>
    <t xml:space="preserve">Alexander Quiroz</t>
  </si>
  <si>
    <t xml:space="preserve">hidro_hi@hotmail.com</t>
  </si>
  <si>
    <t xml:space="preserve">Roxana Rodriguez</t>
  </si>
  <si>
    <t xml:space="preserve">innovaciondevida@outlook.com</t>
  </si>
  <si>
    <t xml:space="preserve">Se asesora y se realiza preinscripción en llamada, indica enviar documentos y requisitos en el transcurso de la semana </t>
  </si>
  <si>
    <t xml:space="preserve">Gina Gabriela Palacios Bolaños</t>
  </si>
  <si>
    <t xml:space="preserve">gabriellapala3451.gp@gmail.com</t>
  </si>
  <si>
    <t xml:space="preserve">usuaria indica que la vuelvan a llamar ya que se encontraba ocupada en el momento </t>
  </si>
  <si>
    <t xml:space="preserve">Vanessa Paula</t>
  </si>
  <si>
    <t xml:space="preserve">vanepaula90@gmail.com</t>
  </si>
  <si>
    <t xml:space="preserve">usuaria indica que la vuelva a llamar alas 4:30 pm</t>
  </si>
  <si>
    <t xml:space="preserve">GR Gabby</t>
  </si>
  <si>
    <t xml:space="preserve">gabuina8@gmail.com</t>
  </si>
  <si>
    <t xml:space="preserve">descartada no interesada contesta y cuelga ,se realiza segunda llamada y se va a buzon de voz </t>
  </si>
  <si>
    <t xml:space="preserve">Salazar Alejandro Jefferson</t>
  </si>
  <si>
    <t xml:space="preserve">jeffersonsalazrcuzme@gmail.com</t>
  </si>
  <si>
    <t xml:space="preserve">Se deja mensaje a tercero, el no se encontraba </t>
  </si>
  <si>
    <t xml:space="preserve">nallely carreño cobeña</t>
  </si>
  <si>
    <t xml:space="preserve">nallelycc2018@gmail.com</t>
  </si>
  <si>
    <t xml:space="preserve">Carlos Santiana</t>
  </si>
  <si>
    <t xml:space="preserve">misaelsebastian19@hotmail.com</t>
  </si>
  <si>
    <t xml:space="preserve">usuario indica que lo llame alas 12:30 pm ya que se encontraba en la plaza </t>
  </si>
  <si>
    <t xml:space="preserve">Melixita Sornoza</t>
  </si>
  <si>
    <t xml:space="preserve">anasornoza21@gmail.com</t>
  </si>
  <si>
    <t xml:space="preserve">Erick Tigrero</t>
  </si>
  <si>
    <t xml:space="preserve">ericktigrero0@gmail.com</t>
  </si>
  <si>
    <t xml:space="preserve">Edwin Walter</t>
  </si>
  <si>
    <t xml:space="preserve">wguanuchi@yahoo.es</t>
  </si>
  <si>
    <t xml:space="preserve">Dayanira</t>
  </si>
  <si>
    <t xml:space="preserve">dproenza06@hotmail.com</t>
  </si>
  <si>
    <t xml:space="preserve">Janeth Soledispa</t>
  </si>
  <si>
    <t xml:space="preserve">jsoledispa1@hotmail.com</t>
  </si>
  <si>
    <t xml:space="preserve">Se envía correo con informacion</t>
  </si>
  <si>
    <t xml:space="preserve">Valeria Morán</t>
  </si>
  <si>
    <t xml:space="preserve">taniaxikita-1993@hotmail.com</t>
  </si>
  <si>
    <t xml:space="preserve">se brinda asesoría y envía correo con informacion</t>
  </si>
  <si>
    <t xml:space="preserve">Rafael Coellar</t>
  </si>
  <si>
    <t xml:space="preserve">rafaelcoellar9@gmail.com</t>
  </si>
  <si>
    <t xml:space="preserve">usuario indica que lo vuelva a llamar alas 06:00 pm</t>
  </si>
  <si>
    <t xml:space="preserve">Chiky Silvia De Marino Veas</t>
  </si>
  <si>
    <t xml:space="preserve">silviachango2005@gmail.com</t>
  </si>
  <si>
    <t xml:space="preserve">descartada interesada en licenciatura en Educación</t>
  </si>
  <si>
    <t xml:space="preserve">Luz Dora Acosta Vera</t>
  </si>
  <si>
    <t xml:space="preserve">luz0030@hotmail.com</t>
  </si>
  <si>
    <t xml:space="preserve">se brinda asesoría , usuaria indica que no se encuentra interesada ya que los horarios no le dan por su trabajo</t>
  </si>
  <si>
    <t xml:space="preserve">Adriana Pincay J</t>
  </si>
  <si>
    <t xml:space="preserve">adri-2597@hotmail.com</t>
  </si>
  <si>
    <t xml:space="preserve">Ligia Heidy Prias</t>
  </si>
  <si>
    <t xml:space="preserve">ligiaheidy_95@hotmail.com</t>
  </si>
  <si>
    <t xml:space="preserve">Aniitaa Izabel</t>
  </si>
  <si>
    <t xml:space="preserve">anitaisabelc90@gmail.com</t>
  </si>
  <si>
    <t xml:space="preserve">Melany Macias</t>
  </si>
  <si>
    <t xml:space="preserve">melany19962010@live.com</t>
  </si>
  <si>
    <t xml:space="preserve">No en servicio </t>
  </si>
  <si>
    <t xml:space="preserve">Grace Melani Vera Eugenio</t>
  </si>
  <si>
    <t xml:space="preserve">Graceveraeugenia@gmail.com</t>
  </si>
  <si>
    <t xml:space="preserve">Isis</t>
  </si>
  <si>
    <t xml:space="preserve">isisbrigitte96@gmail.com</t>
  </si>
  <si>
    <t xml:space="preserve">había mucha interferencia, se agenda nueva llamada  </t>
  </si>
  <si>
    <t xml:space="preserve">Gabriela</t>
  </si>
  <si>
    <t xml:space="preserve">lemagabriela306@gmail.com</t>
  </si>
  <si>
    <t xml:space="preserve">se envía correo con informacion ya que la usuaria indica que se encontraba ocupada </t>
  </si>
  <si>
    <t xml:space="preserve">Juan carlos sornoza solorzano</t>
  </si>
  <si>
    <t xml:space="preserve">sornozajuancarlos327@gmail.com</t>
  </si>
  <si>
    <t xml:space="preserve">usuario indica que o vuelva a llamar alas 06:30 pm  ya que se encuentra laborando </t>
  </si>
  <si>
    <t xml:space="preserve">Jonathan</t>
  </si>
  <si>
    <t xml:space="preserve">yosoyjonali178@gmail.com</t>
  </si>
  <si>
    <t xml:space="preserve">Se asesora, indica que se va a comunicar cuando tenga alguna duda o decida iniciar proceso  </t>
  </si>
  <si>
    <t xml:space="preserve">D Daniela Romo Ch</t>
  </si>
  <si>
    <t xml:space="preserve">daniela.romo.1995@hotmail.com</t>
  </si>
  <si>
    <t xml:space="preserve">carmencita0605@outlook.com</t>
  </si>
  <si>
    <t xml:space="preserve">angelina montalvan</t>
  </si>
  <si>
    <t xml:space="preserve">angelina_quevedo_83@hotmail.com</t>
  </si>
  <si>
    <t xml:space="preserve">Se asesora, indica que va hablar con la hija y se comunicará cuando tenga respuesta </t>
  </si>
  <si>
    <t xml:space="preserve">Alexander Julio Rodriguez Vera</t>
  </si>
  <si>
    <t xml:space="preserve">xandr0308@outlook.com</t>
  </si>
  <si>
    <t xml:space="preserve">Gabriela Izurieta</t>
  </si>
  <si>
    <t xml:space="preserve">jeylaizurieta11@gmail.com</t>
  </si>
  <si>
    <t xml:space="preserve">Maria Saldarriaga</t>
  </si>
  <si>
    <t xml:space="preserve">paulidayita@hotmail.com</t>
  </si>
  <si>
    <t xml:space="preserve">Se brinda asesoria de la licenciatura y sus dos modalidades y se envía correo con informacion</t>
  </si>
  <si>
    <t xml:space="preserve">Alessandro Orrala</t>
  </si>
  <si>
    <t xml:space="preserve">alessandroorrala2015@gmail.com</t>
  </si>
  <si>
    <t xml:space="preserve">Contesta tercero indica que no se encuentra en el momento el usuario , se envía correo con informacion</t>
  </si>
  <si>
    <t xml:space="preserve">Jhon Xavier Vásquez</t>
  </si>
  <si>
    <t xml:space="preserve">jhonxavi2186@gmail.com</t>
  </si>
  <si>
    <t xml:space="preserve">SE BRINDA ASESORIA Y SE REALIZA INSCRIPCION HOMOLOGACION</t>
  </si>
  <si>
    <t xml:space="preserve">Andrea Galarza</t>
  </si>
  <si>
    <t xml:space="preserve">candoandri99@gmail.com</t>
  </si>
  <si>
    <t xml:space="preserve">leonela2000al@Outlook.com</t>
  </si>
  <si>
    <t xml:space="preserve">Yula Barrios</t>
  </si>
  <si>
    <t xml:space="preserve">jbarrior_23@hotmail.com</t>
  </si>
  <si>
    <t xml:space="preserve">Cynthiaromigen</t>
  </si>
  <si>
    <t xml:space="preserve">Cory Quijije</t>
  </si>
  <si>
    <t xml:space="preserve">coraima251@hotmail.com</t>
  </si>
  <si>
    <t xml:space="preserve">Noemi Chompol</t>
  </si>
  <si>
    <t xml:space="preserve">noemichompol@hotmail.com</t>
  </si>
  <si>
    <t xml:space="preserve">se envía informacion por whatsapp ya la usuaria se encontraba ocupada en el momento</t>
  </si>
  <si>
    <t xml:space="preserve">Genesis Jazmin Morocho Farias</t>
  </si>
  <si>
    <t xml:space="preserve">genne88816@gmail.com</t>
  </si>
  <si>
    <t xml:space="preserve">usuaria indica que la vuelva a llamar alas 06:00 pm ya que se encontraba ocupada en el momento</t>
  </si>
  <si>
    <t xml:space="preserve">NiXon DueÑas</t>
  </si>
  <si>
    <t xml:space="preserve">osito230894@hotmail.com</t>
  </si>
  <si>
    <t xml:space="preserve">Ceyli</t>
  </si>
  <si>
    <t xml:space="preserve">loveforever244@hotmail.com</t>
  </si>
  <si>
    <t xml:space="preserve">ÁNGEL RAMON GARCIA CHAVEZ</t>
  </si>
  <si>
    <t xml:space="preserve">angelgarciach03@hotmail.com</t>
  </si>
  <si>
    <t xml:space="preserve">descartado  numero equivocado</t>
  </si>
  <si>
    <t xml:space="preserve">Johnny Alvarez</t>
  </si>
  <si>
    <t xml:space="preserve">jalvarez135@gmail.com</t>
  </si>
  <si>
    <t xml:space="preserve">Ernesto Mateus</t>
  </si>
  <si>
    <t xml:space="preserve">janethcarvajal23@hotmail.com</t>
  </si>
  <si>
    <t xml:space="preserve">usuario indica que no se encuentra interesado en el momento </t>
  </si>
  <si>
    <t xml:space="preserve">Carlos Romero</t>
  </si>
  <si>
    <t xml:space="preserve">clromerolopez@gmail.com</t>
  </si>
  <si>
    <t xml:space="preserve">Vanely CB</t>
  </si>
  <si>
    <t xml:space="preserve">vanelycedeo@yahoo.com</t>
  </si>
  <si>
    <t xml:space="preserve">se brinda informacion </t>
  </si>
  <si>
    <t xml:space="preserve">Orlando Jimenez</t>
  </si>
  <si>
    <t xml:space="preserve">audvillamarj@hotmail.com</t>
  </si>
  <si>
    <t xml:space="preserve">Alexita De Ayala</t>
  </si>
  <si>
    <t xml:space="preserve">silvia.apoloavila@gmail.com</t>
  </si>
  <si>
    <t xml:space="preserve">Yoel Muñoz Carranza</t>
  </si>
  <si>
    <t xml:space="preserve">yole_jerlin@hotmail.com</t>
  </si>
  <si>
    <t xml:space="preserve">Adriana Siguencia</t>
  </si>
  <si>
    <t xml:space="preserve">joselynsi20@hotmail.com</t>
  </si>
  <si>
    <t xml:space="preserve">Nathaly Gonzabay Lino</t>
  </si>
  <si>
    <t xml:space="preserve">jamilexglino@gmail.com</t>
  </si>
  <si>
    <t xml:space="preserve">se brinda asesoría y se envía correo con informacion de homologacion</t>
  </si>
  <si>
    <t xml:space="preserve">Maria Fernanda Burbano Hurtado</t>
  </si>
  <si>
    <t xml:space="preserve">31maferburbano@gmail.com</t>
  </si>
  <si>
    <t xml:space="preserve">Jeraldo Melchor</t>
  </si>
  <si>
    <t xml:space="preserve">kieferadalberto@hotmail.com</t>
  </si>
  <si>
    <t xml:space="preserve">Cb Nelly</t>
  </si>
  <si>
    <t xml:space="preserve">nelly9@outlook.es</t>
  </si>
  <si>
    <t xml:space="preserve">descartada no interesada en el momento </t>
  </si>
  <si>
    <t xml:space="preserve">Patricia Armijos</t>
  </si>
  <si>
    <t xml:space="preserve">patybeiap@hotmail.com</t>
  </si>
  <si>
    <t xml:space="preserve">Charis Gonzalez</t>
  </si>
  <si>
    <t xml:space="preserve">gatanata.70@hotmail.com</t>
  </si>
  <si>
    <t xml:space="preserve">Emilse Viva</t>
  </si>
  <si>
    <t xml:space="preserve">emilseviva@yahoo.es</t>
  </si>
  <si>
    <t xml:space="preserve">Michael Villavicencio Delgado</t>
  </si>
  <si>
    <t xml:space="preserve">Michael_0581@hotmail.com</t>
  </si>
  <si>
    <t xml:space="preserve">Paola MPanamá</t>
  </si>
  <si>
    <t xml:space="preserve">paolamarcillo960@gmail.com</t>
  </si>
  <si>
    <t xml:space="preserve">usuaria indica que se le envié correo con informacion ya que se encontraba ocupada en el momento , se envía correo con informacion</t>
  </si>
  <si>
    <t xml:space="preserve">maria lisseth galarza cercado</t>
  </si>
  <si>
    <t xml:space="preserve">maria12galarza@hotmail.com</t>
  </si>
  <si>
    <t xml:space="preserve">Jessenia Sancan Chompol</t>
  </si>
  <si>
    <t xml:space="preserve">jaschompol@gmail.com</t>
  </si>
  <si>
    <t xml:space="preserve">usuaria indica que le envía informacion al correo ya que se encontraba ocupada en el momento , se envía correo informacion</t>
  </si>
  <si>
    <t xml:space="preserve">Pauli Peralta</t>
  </si>
  <si>
    <t xml:space="preserve">paulirocio76@hotmail.com</t>
  </si>
  <si>
    <t xml:space="preserve">se envía informacion ya que la usuaria se encontraba conduciendo en el momento</t>
  </si>
  <si>
    <t xml:space="preserve">Dario Castro</t>
  </si>
  <si>
    <t xml:space="preserve">dariocastro-1993@hotmail.com</t>
  </si>
  <si>
    <t xml:space="preserve">virna beirut</t>
  </si>
  <si>
    <t xml:space="preserve">bellita_tuflakita79@hotmail.com</t>
  </si>
  <si>
    <t xml:space="preserve">Carlos Sacón</t>
  </si>
  <si>
    <t xml:space="preserve">carlossaconsz@gmail.com</t>
  </si>
  <si>
    <t xml:space="preserve">dayana casanova calderon</t>
  </si>
  <si>
    <t xml:space="preserve">thegirlely@hotmail.com</t>
  </si>
  <si>
    <t xml:space="preserve">Fernanda Fajardo</t>
  </si>
  <si>
    <t xml:space="preserve">ferly.fmoreira28@gmail.com</t>
  </si>
  <si>
    <t xml:space="preserve">Victor Delgado</t>
  </si>
  <si>
    <t xml:space="preserve">victordelgado1990@hotmail.com</t>
  </si>
  <si>
    <t xml:space="preserve">Karlyta Robles</t>
  </si>
  <si>
    <t xml:space="preserve">karlarobles1990@yahoo.es</t>
  </si>
  <si>
    <t xml:space="preserve">se brinda asesoría , usuaria indica que  no se encuentra interesada por el momento</t>
  </si>
  <si>
    <t xml:space="preserve">Jessenia Cse</t>
  </si>
  <si>
    <t xml:space="preserve">jessenia1999chiquito@gmail.com</t>
  </si>
  <si>
    <t xml:space="preserve">Karen Espinoza</t>
  </si>
  <si>
    <t xml:space="preserve">karencitaeapinosa_@hotmail.com</t>
  </si>
  <si>
    <t xml:space="preserve">Mercedes Delgado</t>
  </si>
  <si>
    <t xml:space="preserve">katiuskamdd.26@gmail.com</t>
  </si>
  <si>
    <t xml:space="preserve">Julexy Vera</t>
  </si>
  <si>
    <t xml:space="preserve">julexy8@gmail.com</t>
  </si>
  <si>
    <t xml:space="preserve">volver a llamar que la usuaria indica que se encuentra ocupada en el momento</t>
  </si>
  <si>
    <t xml:space="preserve">Yuli Valencia</t>
  </si>
  <si>
    <t xml:space="preserve">yuvalencia@hotmail.com</t>
  </si>
  <si>
    <t xml:space="preserve">Diana Alava Calero</t>
  </si>
  <si>
    <t xml:space="preserve">diana.tupixiosa@hotmail.com</t>
  </si>
  <si>
    <t xml:space="preserve">usuaria indica que lo vuelva a llamar alas 06:30 ya que se encontraba viajando </t>
  </si>
  <si>
    <t xml:space="preserve">Meliodas Macias</t>
  </si>
  <si>
    <t xml:space="preserve">maciasedwin123@gmail.com</t>
  </si>
  <si>
    <t xml:space="preserve">Armando Sarango</t>
  </si>
  <si>
    <t xml:space="preserve">armandosarango-14@hotmail.com</t>
  </si>
  <si>
    <t xml:space="preserve">Geovanny Perez</t>
  </si>
  <si>
    <t xml:space="preserve">djobi_p@hotmail.com</t>
  </si>
  <si>
    <t xml:space="preserve">Gabriela Ilbay</t>
  </si>
  <si>
    <t xml:space="preserve">gabrielailbay13@gmail.com</t>
  </si>
  <si>
    <t xml:space="preserve">Jorge Luis VC</t>
  </si>
  <si>
    <t xml:space="preserve">jluis.jlvc75@gmail.com</t>
  </si>
  <si>
    <t xml:space="preserve">Kariito Sugheey</t>
  </si>
  <si>
    <t xml:space="preserve">karen.cordova.rivero@utelvt.edu.ec</t>
  </si>
  <si>
    <t xml:space="preserve">Hugo Muñoz</t>
  </si>
  <si>
    <t xml:space="preserve">conductorsuicida09@hotmail.com</t>
  </si>
  <si>
    <t xml:space="preserve">Se asesora y se realiza preinscripción en llamada, indica acercarse a la universidad a llevar los documentos y cancelar matrícula </t>
  </si>
  <si>
    <t xml:space="preserve">Lorna Salazar</t>
  </si>
  <si>
    <t xml:space="preserve">sosalaza1974@gmail.com</t>
  </si>
  <si>
    <t xml:space="preserve">Mateo Cayambe</t>
  </si>
  <si>
    <t xml:space="preserve">angelcayambe1996@gmail.com</t>
  </si>
  <si>
    <t xml:space="preserve">Se asesora, indica que desea pensar la información, se agenda nueva llamada </t>
  </si>
  <si>
    <t xml:space="preserve">Bella Perez</t>
  </si>
  <si>
    <t xml:space="preserve">mariela alexandra</t>
  </si>
  <si>
    <t xml:space="preserve">contrerasmariela1994@gmail.com</t>
  </si>
  <si>
    <t xml:space="preserve">Luis Sánchez</t>
  </si>
  <si>
    <t xml:space="preserve">eduardoluisles@outlook.com</t>
  </si>
  <si>
    <t xml:space="preserve">Darik-liss Verdy Quezada</t>
  </si>
  <si>
    <t xml:space="preserve">cris.ric1217@hotmail.com</t>
  </si>
  <si>
    <t xml:space="preserve">Sandra Riera Pesantez</t>
  </si>
  <si>
    <t xml:space="preserve">sandyrp88@hotmail.com</t>
  </si>
  <si>
    <t xml:space="preserve">Se asesora, desea ingresar por homologación se agenda nueva llamada </t>
  </si>
  <si>
    <t xml:space="preserve">Mariela Velez Villarreal</t>
  </si>
  <si>
    <t xml:space="preserve">yessenia1488@hotmail.com</t>
  </si>
  <si>
    <t xml:space="preserve">Lindon Bayardo Calderon Gallegos</t>
  </si>
  <si>
    <t xml:space="preserve">bayardo.calderongallegos@hotmail.com</t>
  </si>
  <si>
    <t xml:space="preserve">M Sebastian Rodriguez Ricaurte</t>
  </si>
  <si>
    <t xml:space="preserve">posadadetiguacontabilidad@gmail.com</t>
  </si>
  <si>
    <t xml:space="preserve">Karla Casierra</t>
  </si>
  <si>
    <t xml:space="preserve">karlacasierra1@gmail.com</t>
  </si>
  <si>
    <t xml:space="preserve">Monica Raza</t>
  </si>
  <si>
    <t xml:space="preserve">monicaraza.77@hotmail.com</t>
  </si>
  <si>
    <t xml:space="preserve">mercy Guisela Romero Carreño</t>
  </si>
  <si>
    <t xml:space="preserve">cristobal.13.may.74@gmail.com</t>
  </si>
  <si>
    <t xml:space="preserve">Evaristo Manuel Gutierrez Calle</t>
  </si>
  <si>
    <t xml:space="preserve">evaristo.gutierrez.calle20@gmail.com</t>
  </si>
  <si>
    <t xml:space="preserve">Se asesora, se envía informacion al correo para verificar bien toda la información </t>
  </si>
  <si>
    <t xml:space="preserve">Märÿ Märiëlã</t>
  </si>
  <si>
    <t xml:space="preserve">alejandrasanchez511@gmail.com</t>
  </si>
  <si>
    <t xml:space="preserve">Lucho Mendozza</t>
  </si>
  <si>
    <t xml:space="preserve">luchito_-1991@hormail.com</t>
  </si>
  <si>
    <t xml:space="preserve">Walter Onofre Mora</t>
  </si>
  <si>
    <t xml:space="preserve">walteronofremora@gmail.com</t>
  </si>
  <si>
    <t xml:space="preserve">Diana Revelo</t>
  </si>
  <si>
    <t xml:space="preserve">diana_td_@hotmail.com</t>
  </si>
  <si>
    <t xml:space="preserve">Coraima Moreira Quezada</t>
  </si>
  <si>
    <t xml:space="preserve">coraima_quez@hotmail.com</t>
  </si>
  <si>
    <t xml:space="preserve">ESTABA EN EL COLECTIVO Y NO ESCUCHABA BIEN SE AGENDA NUEVA LLAMADA </t>
  </si>
  <si>
    <t xml:space="preserve">cristian patricio caizaluisa</t>
  </si>
  <si>
    <t xml:space="preserve">deluxe_cortinas@hotmail.com</t>
  </si>
  <si>
    <t xml:space="preserve">vannesa</t>
  </si>
  <si>
    <t xml:space="preserve">tunnyaulestia@hotmail.com</t>
  </si>
  <si>
    <t xml:space="preserve">Daniel Bosa</t>
  </si>
  <si>
    <t xml:space="preserve">daniel15021986@hotmail.com</t>
  </si>
  <si>
    <t xml:space="preserve">Diego Armando Collaguazo</t>
  </si>
  <si>
    <t xml:space="preserve">josecollaguazo22@gmail.com</t>
  </si>
  <si>
    <t xml:space="preserve">Octavio Zambrano</t>
  </si>
  <si>
    <t xml:space="preserve">o.zambrano_1966@hotmail.com</t>
  </si>
  <si>
    <t xml:space="preserve">Pablitos Herrera</t>
  </si>
  <si>
    <t xml:space="preserve">pablolhj2912@hotmail.com</t>
  </si>
  <si>
    <t xml:space="preserve">Nubia Casquete Baidal</t>
  </si>
  <si>
    <t xml:space="preserve">elizabaidal21@hotmail.com</t>
  </si>
  <si>
    <t xml:space="preserve">Ceci Garcia</t>
  </si>
  <si>
    <t xml:space="preserve">cecigarciaa@yahoo.com</t>
  </si>
  <si>
    <t xml:space="preserve">se le brinda informacion al whatsapp </t>
  </si>
  <si>
    <t xml:space="preserve">Denny Pàrraga Valdivieso</t>
  </si>
  <si>
    <t xml:space="preserve">dennyleo@hotmail.com</t>
  </si>
  <si>
    <t xml:space="preserve">GT Alejandra</t>
  </si>
  <si>
    <t xml:space="preserve">nathaliegt06@gmail.com</t>
  </si>
  <si>
    <t xml:space="preserve">Diana Castro</t>
  </si>
  <si>
    <t xml:space="preserve">dicastro2009@hotmail.com</t>
  </si>
  <si>
    <t xml:space="preserve">Ruth Elizabeth Peñafiel Suarez</t>
  </si>
  <si>
    <t xml:space="preserve">ruth_ulises30@hotmail.es</t>
  </si>
  <si>
    <t xml:space="preserve">volver a llamar se encuentra ocupada en una reunion</t>
  </si>
  <si>
    <t xml:space="preserve">Angelica maria</t>
  </si>
  <si>
    <t xml:space="preserve">angeline235@hotmail.com</t>
  </si>
  <si>
    <t xml:space="preserve">Freddy Figueroa Quinonez</t>
  </si>
  <si>
    <t xml:space="preserve">figueroasegundofreddy@hotmail.com</t>
  </si>
  <si>
    <t xml:space="preserve">Yamel Emanuele Cevallos</t>
  </si>
  <si>
    <t xml:space="preserve">yamelita79@hotmail.com</t>
  </si>
  <si>
    <t xml:space="preserve">volver a llamar se encuentra ocupada almorzando </t>
  </si>
  <si>
    <t xml:space="preserve">Cynthia Vanessa Fajardo Santana</t>
  </si>
  <si>
    <t xml:space="preserve">cynthiafajardo1982@gmail.com</t>
  </si>
  <si>
    <t xml:space="preserve">se le brinda informacion al whatsapp volver a llamar </t>
  </si>
  <si>
    <t xml:space="preserve">Alex Bracero Gavilanes</t>
  </si>
  <si>
    <t xml:space="preserve">abracerg17@hotmail.com</t>
  </si>
  <si>
    <t xml:space="preserve">Tanieliza Castillo</t>
  </si>
  <si>
    <t xml:space="preserve">tanieliza2006@hotmail.es</t>
  </si>
  <si>
    <t xml:space="preserve">Vale Roman</t>
  </si>
  <si>
    <t xml:space="preserve">Se asesora, se envía informacion al WhatsApp </t>
  </si>
  <si>
    <t xml:space="preserve">Guiby JL</t>
  </si>
  <si>
    <t xml:space="preserve">Lemagabriela306@gmail.com</t>
  </si>
  <si>
    <t xml:space="preserve">Isis Salas</t>
  </si>
  <si>
    <t xml:space="preserve">Amelia Saltos</t>
  </si>
  <si>
    <t xml:space="preserve">Jose Armijos</t>
  </si>
  <si>
    <t xml:space="preserve">jose.armijos@aol.com</t>
  </si>
  <si>
    <t xml:space="preserve">Mechita Navita</t>
  </si>
  <si>
    <t xml:space="preserve">2613@outlook.com</t>
  </si>
  <si>
    <t xml:space="preserve">Dalia Joana Ortega Paredes</t>
  </si>
  <si>
    <t xml:space="preserve">Interesada en licenciaturas de la  carreras de la educación</t>
  </si>
  <si>
    <t xml:space="preserve">Alonso Orrala</t>
  </si>
  <si>
    <t xml:space="preserve">nestorlinez2008@gmail.com</t>
  </si>
  <si>
    <t xml:space="preserve">se le envia informacion al correo electronico volver a llamar </t>
  </si>
  <si>
    <t xml:space="preserve">Anita Calderon</t>
  </si>
  <si>
    <t xml:space="preserve">Yolanda Pacheco</t>
  </si>
  <si>
    <t xml:space="preserve">pachecoyolanda61@hotmail.com</t>
  </si>
  <si>
    <t xml:space="preserve">Se asesora, indica que va a enviar comprobante en el transcurso de la tarde </t>
  </si>
  <si>
    <t xml:space="preserve">Madelen Muniz Palomino</t>
  </si>
  <si>
    <t xml:space="preserve">mmunizpalomino@gmail.com</t>
  </si>
  <si>
    <t xml:space="preserve">Evelyn Gabriela Mendoza Obregon</t>
  </si>
  <si>
    <t xml:space="preserve">decoramendoza@gmail.com</t>
  </si>
  <si>
    <t xml:space="preserve">Indica que esta interesada en maestrías de la educación </t>
  </si>
  <si>
    <t xml:space="preserve">Eduard K Saucedo L</t>
  </si>
  <si>
    <t xml:space="preserve">kbsaucedo@hotmail.com</t>
  </si>
  <si>
    <t xml:space="preserve">Se asesora  y se envía informacion al correo, indica que desea verificar bien la informacion </t>
  </si>
  <si>
    <t xml:space="preserve">Angel R. Macías Gutiérrez</t>
  </si>
  <si>
    <t xml:space="preserve">amacias007@hotmail.com</t>
  </si>
  <si>
    <t xml:space="preserve">Genesis Leon</t>
  </si>
  <si>
    <t xml:space="preserve">genesis2014leon28@hotmail.com</t>
  </si>
  <si>
    <t xml:space="preserve">Se envía informacion al correo electrónico </t>
  </si>
  <si>
    <t xml:space="preserve">Vanessa Henrique</t>
  </si>
  <si>
    <t xml:space="preserve">Esta interesada en la carrera de abogada </t>
  </si>
  <si>
    <t xml:space="preserve">Deysi Rizzo Quinto</t>
  </si>
  <si>
    <t xml:space="preserve">rizzo_dixp@hotmail.com</t>
  </si>
  <si>
    <t xml:space="preserve">negocios_internacionales</t>
  </si>
  <si>
    <t xml:space="preserve">Maru Vivero</t>
  </si>
  <si>
    <t xml:space="preserve">lissettevivero@yahoo.es</t>
  </si>
  <si>
    <t xml:space="preserve">Jair Santillán Peña</t>
  </si>
  <si>
    <t xml:space="preserve">jairsantillan69@gmail.com</t>
  </si>
  <si>
    <t xml:space="preserve">nathagara1986@hotmail.com</t>
  </si>
  <si>
    <t xml:space="preserve">Se asesora y se envia correo con informacion  </t>
  </si>
  <si>
    <t xml:space="preserve">Maricarmen Maridueña Borja</t>
  </si>
  <si>
    <t xml:space="preserve">mdc73labernaz@hotmail.com</t>
  </si>
  <si>
    <t xml:space="preserve">Deysi Mary Pilaguano</t>
  </si>
  <si>
    <t xml:space="preserve">deysimarielai@hotmail.com</t>
  </si>
  <si>
    <t xml:space="preserve">Johana Bueno</t>
  </si>
  <si>
    <t xml:space="preserve">bueno_johana1206@hotmail.com</t>
  </si>
  <si>
    <t xml:space="preserve">Yerii Liss</t>
  </si>
  <si>
    <t xml:space="preserve">yerelimotesdeoca@gmail.com</t>
  </si>
  <si>
    <t xml:space="preserve">Elizabeth Ordoñez</t>
  </si>
  <si>
    <t xml:space="preserve">samy-myheart@outlook.com</t>
  </si>
  <si>
    <t xml:space="preserve">usuaria indica que se le envié informacion al correo ya que se encontraba ocupada , se envía correo con informacion</t>
  </si>
  <si>
    <t xml:space="preserve">Brismar Cataleya</t>
  </si>
  <si>
    <t xml:space="preserve">tatikar1987@hotmail.com</t>
  </si>
  <si>
    <t xml:space="preserve">Angela Escobar</t>
  </si>
  <si>
    <t xml:space="preserve">Angelaus067@gmail.com</t>
  </si>
  <si>
    <t xml:space="preserve">Erivale Santana</t>
  </si>
  <si>
    <t xml:space="preserve">erikasantanasanchez@outlook.com</t>
  </si>
  <si>
    <r>
      <rPr>
        <b val="true"/>
        <sz val="11"/>
        <rFont val="Cambria"/>
        <family val="0"/>
        <charset val="1"/>
      </rPr>
      <t xml:space="preserve">descartada no interesada en el momento</t>
    </r>
    <r>
      <rPr>
        <sz val="10"/>
        <rFont val="Verdana"/>
        <family val="0"/>
        <charset val="1"/>
      </rPr>
      <t xml:space="preserve"> </t>
    </r>
  </si>
  <si>
    <t xml:space="preserve">Irene Moreira</t>
  </si>
  <si>
    <t xml:space="preserve">irenmer@hotmail.com</t>
  </si>
  <si>
    <t xml:space="preserve">Bachita Reyes</t>
  </si>
  <si>
    <t xml:space="preserve">karinareyes-majo@hotmail.com</t>
  </si>
  <si>
    <t xml:space="preserve">se envia correo con informacion</t>
  </si>
  <si>
    <t xml:space="preserve">Briggithsaltos@gmail.com</t>
  </si>
  <si>
    <t xml:space="preserve">Cecilia Pluas</t>
  </si>
  <si>
    <t xml:space="preserve">cecybaby_1980@hotmail.com</t>
  </si>
  <si>
    <t xml:space="preserve">Lidice Tinoco</t>
  </si>
  <si>
    <t xml:space="preserve">rubioarana10@gmail.com</t>
  </si>
  <si>
    <t xml:space="preserve">Se asesora, indica que el presupuesto no le da, quiere acceder a una beca </t>
  </si>
  <si>
    <t xml:space="preserve">Alfred Oscorp</t>
  </si>
  <si>
    <t xml:space="preserve">sunatauditor@gmail.com</t>
  </si>
  <si>
    <t xml:space="preserve">Jose Sotomayor</t>
  </si>
  <si>
    <t xml:space="preserve">jose_lo91@hotmail.com</t>
  </si>
  <si>
    <t xml:space="preserve">se envía informativo por correo con carreras que ofertamos</t>
  </si>
  <si>
    <t xml:space="preserve">Borbor M Ely Borbor</t>
  </si>
  <si>
    <t xml:space="preserve">elibebe2006@hotmail.com</t>
  </si>
  <si>
    <t xml:space="preserve">Se brinda informacion </t>
  </si>
  <si>
    <t xml:space="preserve">DannYela G Cedeño</t>
  </si>
  <si>
    <t xml:space="preserve">daniguadalupece@gmail.com</t>
  </si>
  <si>
    <t xml:space="preserve">se contacta e informa que está revisando horarios y valores de pensión, se envía informativo por correo con carreras que ofertamos</t>
  </si>
  <si>
    <t xml:space="preserve">Elvis Bravo Jimenez</t>
  </si>
  <si>
    <t xml:space="preserve">elvisbravo48@gmail.com</t>
  </si>
  <si>
    <t xml:space="preserve">Janeth Gomez</t>
  </si>
  <si>
    <t xml:space="preserve">monicagomez14@hotmail.com</t>
  </si>
  <si>
    <t xml:space="preserve">Roxana Josefina Canales Martinez</t>
  </si>
  <si>
    <t xml:space="preserve">roxanayadiel@gmail.com</t>
  </si>
  <si>
    <t xml:space="preserve">chris olvera moran</t>
  </si>
  <si>
    <t xml:space="preserve">caom38@hotmail.com</t>
  </si>
  <si>
    <t xml:space="preserve">Angie Cuenca</t>
  </si>
  <si>
    <t xml:space="preserve">angiecuenca77@hotmail.com</t>
  </si>
  <si>
    <t xml:space="preserve">Paul Quiñonez</t>
  </si>
  <si>
    <t xml:space="preserve">poolalexander1586@gmail.com</t>
  </si>
  <si>
    <t xml:space="preserve">Isabel Matamoros</t>
  </si>
  <si>
    <t xml:space="preserve">mariuxipinela83@hmail.com</t>
  </si>
  <si>
    <t xml:space="preserve">Maria Gallon</t>
  </si>
  <si>
    <t xml:space="preserve">gallonmaria2018@gmail.com</t>
  </si>
  <si>
    <t xml:space="preserve">Laddy Montes</t>
  </si>
  <si>
    <t xml:space="preserve">laddy1518montes@hotmail.com</t>
  </si>
  <si>
    <t xml:space="preserve">Alexander Velez</t>
  </si>
  <si>
    <t xml:space="preserve">alexandervelez121995@gmail.com</t>
  </si>
  <si>
    <t xml:space="preserve">Guillermo Lopez Chancay</t>
  </si>
  <si>
    <t xml:space="preserve">guillermo.j.lopez@hotmail.com</t>
  </si>
  <si>
    <t xml:space="preserve">Zulay Cruz</t>
  </si>
  <si>
    <t xml:space="preserve">zulay.cruzmite@gmail.com</t>
  </si>
  <si>
    <t xml:space="preserve">Ángel Mariano Arana Niola</t>
  </si>
  <si>
    <t xml:space="preserve">angelmarianoarana@hotmail.com</t>
  </si>
  <si>
    <t xml:space="preserve">Jhon Blanc</t>
  </si>
  <si>
    <t xml:space="preserve">jhon85169@gmail.com</t>
  </si>
  <si>
    <t xml:space="preserve">Daniel Robles</t>
  </si>
  <si>
    <t xml:space="preserve">robesdaniel98@gmail.com</t>
  </si>
  <si>
    <t xml:space="preserve">Denisse Acosta</t>
  </si>
  <si>
    <t xml:space="preserve">deveacja@gmail.com</t>
  </si>
  <si>
    <t xml:space="preserve">Elizabeth Calderon</t>
  </si>
  <si>
    <t xml:space="preserve">tpuyango.inter@hotmail.com</t>
  </si>
  <si>
    <t xml:space="preserve">David LITARDO</t>
  </si>
  <si>
    <t xml:space="preserve">litardodavid00@gmail.com</t>
  </si>
  <si>
    <t xml:space="preserve">Lachinasusy Almeida</t>
  </si>
  <si>
    <t xml:space="preserve">susy19almeida@gmail.com</t>
  </si>
  <si>
    <t xml:space="preserve">Cristina Muñoz Villacis</t>
  </si>
  <si>
    <t xml:space="preserve">criss991@outlook.es</t>
  </si>
  <si>
    <t xml:space="preserve">JISSELA HIDALGO</t>
  </si>
  <si>
    <t xml:space="preserve">jisshidalgo2001@hotmail.com</t>
  </si>
  <si>
    <t xml:space="preserve">Judith Pérez</t>
  </si>
  <si>
    <t xml:space="preserve">momal.1985@hotmail.com</t>
  </si>
  <si>
    <t xml:space="preserve">Paul Lopez</t>
  </si>
  <si>
    <t xml:space="preserve">paulenriquelopezburgos@yahoo.es</t>
  </si>
  <si>
    <t xml:space="preserve">harald hernandez</t>
  </si>
  <si>
    <t xml:space="preserve">harold-gabriel@hotmail.com</t>
  </si>
  <si>
    <t xml:space="preserve">Arcaya Sancên</t>
  </si>
  <si>
    <t xml:space="preserve">arcaya.carlos@hotmail.com</t>
  </si>
  <si>
    <t xml:space="preserve">Vivi Moylo</t>
  </si>
  <si>
    <t xml:space="preserve">moylo21@hotmail.com</t>
  </si>
  <si>
    <t xml:space="preserve">Patty Escandon</t>
  </si>
  <si>
    <t xml:space="preserve">janethescandonsala@gmail.com</t>
  </si>
  <si>
    <t xml:space="preserve">Azucena Ac</t>
  </si>
  <si>
    <t xml:space="preserve">azucenc4@hotmail.com</t>
  </si>
  <si>
    <t xml:space="preserve">Veronica Vera Valdivieso</t>
  </si>
  <si>
    <t xml:space="preserve">veravaldivieso99@gmail.com</t>
  </si>
  <si>
    <t xml:space="preserve">Fabricio Manrique G.</t>
  </si>
  <si>
    <t xml:space="preserve">fabimagu_96@hotmail.com</t>
  </si>
  <si>
    <t xml:space="preserve">AlexandrAa CJ</t>
  </si>
  <si>
    <t xml:space="preserve">a17cuji@hotmail.com</t>
  </si>
  <si>
    <t xml:space="preserve">Diana Figueroa</t>
  </si>
  <si>
    <t xml:space="preserve">tomaladiana351@gmail.com</t>
  </si>
  <si>
    <t xml:space="preserve">Isabel Cristina Aguiar Mendieta</t>
  </si>
  <si>
    <t xml:space="preserve">natasha22-05@hotmail.com</t>
  </si>
  <si>
    <t xml:space="preserve">angelaus067@gmail.com</t>
  </si>
  <si>
    <t xml:space="preserve">malemepo@hotmail.com</t>
  </si>
  <si>
    <t xml:space="preserve">Oscar Mora Jaramillo</t>
  </si>
  <si>
    <t xml:space="preserve">oscarmora_20181995@outlook.es</t>
  </si>
  <si>
    <t xml:space="preserve">Dayhita Torres</t>
  </si>
  <si>
    <t xml:space="preserve">2300577596dayis@gmail.com</t>
  </si>
  <si>
    <t xml:space="preserve">Alexa Pastaz Pastaz</t>
  </si>
  <si>
    <t xml:space="preserve">apastaz@hotmail.com</t>
  </si>
  <si>
    <t xml:space="preserve">Gabriela Gonzales</t>
  </si>
  <si>
    <t xml:space="preserve">gabriela_sg6969@hotmail.com</t>
  </si>
  <si>
    <t xml:space="preserve">Eliza Garcia</t>
  </si>
  <si>
    <t xml:space="preserve">elizagatita26@hotmail.com</t>
  </si>
  <si>
    <t xml:space="preserve">Merceditas Taipe</t>
  </si>
  <si>
    <t xml:space="preserve">mercy21nancy@gmail.com</t>
  </si>
  <si>
    <t xml:space="preserve">Pablo Ulloa</t>
  </si>
  <si>
    <t xml:space="preserve">pablin456@gmail.com</t>
  </si>
  <si>
    <t xml:space="preserve">Christian Chávez</t>
  </si>
  <si>
    <t xml:space="preserve">chrisv-79@hotmail.com</t>
  </si>
  <si>
    <t xml:space="preserve">Carolina Moreira</t>
  </si>
  <si>
    <t xml:space="preserve">ara_anilorac107@hotmail.com</t>
  </si>
  <si>
    <t xml:space="preserve">Geovanny Álvarez</t>
  </si>
  <si>
    <t xml:space="preserve">lgeovanny000@gmail.com</t>
  </si>
  <si>
    <t xml:space="preserve">Claudio Mauricio Morocho Corte</t>
  </si>
  <si>
    <t xml:space="preserve">clausmauri.91@gmail.com</t>
  </si>
  <si>
    <t xml:space="preserve">Edison Benavides</t>
  </si>
  <si>
    <t xml:space="preserve">edinsito1996@hotmail.com</t>
  </si>
  <si>
    <t xml:space="preserve">Camilo Andres Leiva Solano</t>
  </si>
  <si>
    <t xml:space="preserve">camilo_leyva@yahoo.com</t>
  </si>
  <si>
    <t xml:space="preserve">Richard Adalberto Morales Acurio</t>
  </si>
  <si>
    <t xml:space="preserve">richardmorales1977@outlook.com</t>
  </si>
  <si>
    <t xml:space="preserve">Roy Montano</t>
  </si>
  <si>
    <t xml:space="preserve">roy-montano@hotmail.com</t>
  </si>
  <si>
    <t xml:space="preserve">Armand Vizcaino Viz Alv</t>
  </si>
  <si>
    <t xml:space="preserve">jcorand@hotmail.com</t>
  </si>
  <si>
    <t xml:space="preserve">Roberth Duràn</t>
  </si>
  <si>
    <t xml:space="preserve">maverickrcdm3000@gmail.com</t>
  </si>
  <si>
    <t xml:space="preserve">Jhennyfer Mendez Jácome</t>
  </si>
  <si>
    <t xml:space="preserve">jhennystef@icloud.com</t>
  </si>
  <si>
    <t xml:space="preserve">Bayardo Cabrera</t>
  </si>
  <si>
    <t xml:space="preserve">bayardo_cabrera@hotmail.com</t>
  </si>
  <si>
    <t xml:space="preserve">Dylon Fabricio Cardenas Fonseca</t>
  </si>
  <si>
    <t xml:space="preserve">cardenasfabry1@hotmail.com</t>
  </si>
  <si>
    <t xml:space="preserve">AkiestaEliza Vp</t>
  </si>
  <si>
    <t xml:space="preserve">dondeestaelizavp@hotmail.com</t>
  </si>
  <si>
    <t xml:space="preserve">Ismael Javier Arce Encalada</t>
  </si>
  <si>
    <t xml:space="preserve">ismaeljaviermatias@hotmail.com</t>
  </si>
  <si>
    <t xml:space="preserve">Salomé Granja</t>
  </si>
  <si>
    <t xml:space="preserve">msalome74@hotmail.com</t>
  </si>
  <si>
    <t xml:space="preserve">Lucy Gonzalez</t>
  </si>
  <si>
    <t xml:space="preserve">lucyirisgonzalezalava@yahoo.es</t>
  </si>
  <si>
    <t xml:space="preserve">SE LE BRINDA INFORMACION POR WHATSAPP </t>
  </si>
  <si>
    <t xml:space="preserve">Andreita Pesantes</t>
  </si>
  <si>
    <t xml:space="preserve">andreita_pesantes91@hotmail.es</t>
  </si>
  <si>
    <t xml:space="preserve">Sonia Ampuero</t>
  </si>
  <si>
    <t xml:space="preserve">sonia_ampuero@hotmail.com</t>
  </si>
  <si>
    <t xml:space="preserve">Jessenia Alexandra Oyague Velez</t>
  </si>
  <si>
    <t xml:space="preserve">jessyoyague@hotmail.com</t>
  </si>
  <si>
    <t xml:space="preserve">se contacta se brinda información</t>
  </si>
  <si>
    <t xml:space="preserve">Lisseth Villacis Fernandez</t>
  </si>
  <si>
    <t xml:space="preserve">livi_2318@hotmail.com</t>
  </si>
  <si>
    <t xml:space="preserve">SE LE ENVIA INFORMACION POR WHATSAPP </t>
  </si>
  <si>
    <t xml:space="preserve">Doris Lagla</t>
  </si>
  <si>
    <t xml:space="preserve">doris_lagla@hotmail.com</t>
  </si>
  <si>
    <t xml:space="preserve">SE LLAMA ENVÍA A BUZÓN SE ENVÍA INFORMATIVO POR WHATSAPP</t>
  </si>
  <si>
    <t xml:space="preserve">SE ENVIA INFORMACION POR WHATSAPP </t>
  </si>
  <si>
    <t xml:space="preserve">Lourdes Andrade</t>
  </si>
  <si>
    <t xml:space="preserve">lourdesandraded@gmail.com</t>
  </si>
  <si>
    <t xml:space="preserve">se contacta por whatsapp y se asesora</t>
  </si>
  <si>
    <t xml:space="preserve">Martha Velasquez</t>
  </si>
  <si>
    <t xml:space="preserve">martuti1206@yahoo.com</t>
  </si>
  <si>
    <t xml:space="preserve">Majo Hernandez</t>
  </si>
  <si>
    <t xml:space="preserve">majohernandez@live.com</t>
  </si>
  <si>
    <t xml:space="preserve">se le brinda informacion por whatsapp </t>
  </si>
  <si>
    <t xml:space="preserve">Eva Espinoza</t>
  </si>
  <si>
    <t xml:space="preserve">eeva5752@gmail.com</t>
  </si>
  <si>
    <t xml:space="preserve">Se realiza llamada y aparte se envía infromativo por whatsapp</t>
  </si>
  <si>
    <t xml:space="preserve">China Estefania</t>
  </si>
  <si>
    <t xml:space="preserve">jenniffer.v.p@hotmail.com</t>
  </si>
  <si>
    <t xml:space="preserve">se le brinda informacion por whatsapp ya que no posee numero de tlf</t>
  </si>
  <si>
    <t xml:space="preserve">Carmen Aguirre Sipión</t>
  </si>
  <si>
    <t xml:space="preserve">Y afue gestionada el dia 11 de febrero, se envio informacion </t>
  </si>
  <si>
    <t xml:space="preserve">Christian Cisneros</t>
  </si>
  <si>
    <t xml:space="preserve">ccisnerosf@gmail.com</t>
  </si>
  <si>
    <t xml:space="preserve">-</t>
  </si>
  <si>
    <t xml:space="preserve">Karolay Delgado Lopez</t>
  </si>
  <si>
    <t xml:space="preserve">dianisslili_1998@hotmail.com</t>
  </si>
  <si>
    <t xml:space="preserve">se le brinda informacion por whatsapp</t>
  </si>
  <si>
    <t xml:space="preserve">Jose Martin Avila</t>
  </si>
  <si>
    <t xml:space="preserve">astapasocio1@hotmail.com</t>
  </si>
  <si>
    <t xml:space="preserve">se le brindo informacion por whatsapp </t>
  </si>
  <si>
    <t xml:space="preserve">Lola Isabel Maji</t>
  </si>
  <si>
    <t xml:space="preserve">Elcenaculo92@gmail.com</t>
  </si>
  <si>
    <t xml:space="preserve">Thais Nicole</t>
  </si>
  <si>
    <t xml:space="preserve">Thaissalvadorquijije20@gmail.com</t>
  </si>
  <si>
    <t xml:space="preserve">Ashley Muñoz</t>
  </si>
  <si>
    <t xml:space="preserve">manabel178@gmail.com</t>
  </si>
  <si>
    <t xml:space="preserve">Juan Carlos Calderon Enriquez</t>
  </si>
  <si>
    <t xml:space="preserve">juan.carlos_calderon.enriquez1994@hotmail.com</t>
  </si>
  <si>
    <t xml:space="preserve">Mell Guizado</t>
  </si>
  <si>
    <t xml:space="preserve">melluge@hotmail.com</t>
  </si>
  <si>
    <t xml:space="preserve">Madeline Nuñez Cabezas</t>
  </si>
  <si>
    <t xml:space="preserve">velezbacilio@hotmail.com</t>
  </si>
  <si>
    <t xml:space="preserve">se le brindo informacion por correo electronico ya que no posee numero de tlf </t>
  </si>
  <si>
    <t xml:space="preserve">Mishell Stefania Parrales Hernandez</t>
  </si>
  <si>
    <t xml:space="preserve">jael0993@outlook.com</t>
  </si>
  <si>
    <t xml:space="preserve">se le brinda informacion al correo electronico </t>
  </si>
  <si>
    <t xml:space="preserve">Pao Oleas</t>
  </si>
  <si>
    <t xml:space="preserve">joleas16@hotmail.com</t>
  </si>
  <si>
    <t xml:space="preserve">Se envia informacion al correo </t>
  </si>
  <si>
    <t xml:space="preserve">Alexa Lj</t>
  </si>
  <si>
    <t xml:space="preserve">leonoralex16@hotmail.com</t>
  </si>
  <si>
    <t xml:space="preserve">Gigi Cedeño</t>
  </si>
  <si>
    <t xml:space="preserve">0939501584gigi@gmail.com</t>
  </si>
  <si>
    <t xml:space="preserve">Andrea</t>
  </si>
  <si>
    <t xml:space="preserve">andreitazambrano97@hotmail.es</t>
  </si>
  <si>
    <t xml:space="preserve">Rozanitha Cse</t>
  </si>
  <si>
    <t xml:space="preserve">angelitoguadamud20@gmail.com</t>
  </si>
  <si>
    <t xml:space="preserve">Jēnii Zāmbrānö</t>
  </si>
  <si>
    <t xml:space="preserve">jaqzs.1721312005@gmail.com</t>
  </si>
  <si>
    <t xml:space="preserve">Manuel Armijos</t>
  </si>
  <si>
    <t xml:space="preserve">manuel_armijos13@hotmail.com</t>
  </si>
  <si>
    <t xml:space="preserve">Agnnes Granda</t>
  </si>
  <si>
    <t xml:space="preserve">maingrji@gmail.com</t>
  </si>
  <si>
    <t xml:space="preserve">Hilda Diaz</t>
  </si>
  <si>
    <t xml:space="preserve">ianjosue2@hotmail.com</t>
  </si>
  <si>
    <t xml:space="preserve">Digna Chavarria</t>
  </si>
  <si>
    <t xml:space="preserve">mb6696416@gmail.com</t>
  </si>
  <si>
    <t xml:space="preserve">Jose moreira</t>
  </si>
  <si>
    <t xml:space="preserve">Claudiarenatavelez17@gmail.com</t>
  </si>
  <si>
    <t xml:space="preserve">Se envío informacion al WhatsApp </t>
  </si>
  <si>
    <t xml:space="preserve">Angie Salazar</t>
  </si>
  <si>
    <t xml:space="preserve">alesang18@gmail.com</t>
  </si>
  <si>
    <t xml:space="preserve">Se envía informacion al WhatsApp </t>
  </si>
  <si>
    <t xml:space="preserve">Heydi Cueva R</t>
  </si>
  <si>
    <t xml:space="preserve">hey_di_95@hotmail.com</t>
  </si>
  <si>
    <t xml:space="preserve">Jenniffer Preciado Araujo</t>
  </si>
  <si>
    <t xml:space="preserve">chicapreciado@hotmail.it</t>
  </si>
  <si>
    <t xml:space="preserve">Mayra Guerrero</t>
  </si>
  <si>
    <t xml:space="preserve">mayraguerrero886@gmail.com</t>
  </si>
  <si>
    <t xml:space="preserve">Se brinda informacion</t>
  </si>
  <si>
    <t xml:space="preserve">Jamilet Alcivar</t>
  </si>
  <si>
    <t xml:space="preserve">estefyalcivar1999@hotmail.com</t>
  </si>
  <si>
    <t xml:space="preserve">Maritza Guaranda</t>
  </si>
  <si>
    <t xml:space="preserve">maritza-5612@hotmail.com</t>
  </si>
  <si>
    <t xml:space="preserve">Kalucita Montoya</t>
  </si>
  <si>
    <t xml:space="preserve">karinita_mon@hotmail.com</t>
  </si>
  <si>
    <t xml:space="preserve">Hirlanda Natali Benalcazar Sanchez</t>
  </si>
  <si>
    <t xml:space="preserve">wrgoimport@hotmail.com</t>
  </si>
  <si>
    <t xml:space="preserve">lisbeth frias</t>
  </si>
  <si>
    <t xml:space="preserve">lisbeth-frias-97@hotmail.com</t>
  </si>
  <si>
    <t xml:space="preserve">Ronny Guerrero</t>
  </si>
  <si>
    <t xml:space="preserve">gerreroandres@hotmail.com</t>
  </si>
  <si>
    <t xml:space="preserve">Karlita Chavez</t>
  </si>
  <si>
    <t xml:space="preserve">lismendyg@yahoo.com</t>
  </si>
  <si>
    <t xml:space="preserve">Stefanie Mora</t>
  </si>
  <si>
    <t xml:space="preserve">stefaniemora26@gmail.com</t>
  </si>
  <si>
    <t xml:space="preserve">juan cerezo</t>
  </si>
  <si>
    <t xml:space="preserve">jasminloor2009@hotmail.com</t>
  </si>
  <si>
    <t xml:space="preserve">Andreita Guerrero</t>
  </si>
  <si>
    <t xml:space="preserve">andreita_mgo18@hotmail.com</t>
  </si>
  <si>
    <t xml:space="preserve">Katherine Garces</t>
  </si>
  <si>
    <t xml:space="preserve">kige_katrina@hotmail.com</t>
  </si>
  <si>
    <t xml:space="preserve">Luis Toa</t>
  </si>
  <si>
    <t xml:space="preserve">luismtm02@gmail.com</t>
  </si>
  <si>
    <t xml:space="preserve">Se brinda información </t>
  </si>
  <si>
    <t xml:space="preserve">Mayrita Gallegos</t>
  </si>
  <si>
    <t xml:space="preserve">maygallegos94@hotmail.com</t>
  </si>
  <si>
    <t xml:space="preserve">Keysu Bernabe Jerelyn Neymarcito</t>
  </si>
  <si>
    <t xml:space="preserve">keyko-sugeidy97@hotmail.com</t>
  </si>
  <si>
    <t xml:space="preserve">Lady Nayeli Sanchez Garcia</t>
  </si>
  <si>
    <t xml:space="preserve">ladhhys@gmail.com</t>
  </si>
  <si>
    <t xml:space="preserve">Pedro Guerrero</t>
  </si>
  <si>
    <t xml:space="preserve">Pedroguerrero97@hotmail.com</t>
  </si>
  <si>
    <t xml:space="preserve">Gina Delgado Arias</t>
  </si>
  <si>
    <t xml:space="preserve">ginadelgadoarias@hotmail.con</t>
  </si>
  <si>
    <t xml:space="preserve">Jaime Vinicio Solorzano Castro</t>
  </si>
  <si>
    <t xml:space="preserve">vini18ec@hotmail.com</t>
  </si>
  <si>
    <t xml:space="preserve">abran castro</t>
  </si>
  <si>
    <t xml:space="preserve">fabifigeroa9@gmail.com</t>
  </si>
  <si>
    <t xml:space="preserve">Stefania Folleco</t>
  </si>
  <si>
    <t xml:space="preserve">stefaniafolleco89@hotmail.com</t>
  </si>
  <si>
    <t xml:space="preserve">Inter Fibra</t>
  </si>
  <si>
    <t xml:space="preserve">caravila_79@yahoo.es</t>
  </si>
  <si>
    <t xml:space="preserve">Stefania Bravo</t>
  </si>
  <si>
    <t xml:space="preserve">Ginger123.99@gmail.es</t>
  </si>
  <si>
    <t xml:space="preserve">Marjorie Ledesma</t>
  </si>
  <si>
    <t xml:space="preserve">prinsesalejandra@hotmail.com</t>
  </si>
  <si>
    <t xml:space="preserve">Jamilex Izurieta</t>
  </si>
  <si>
    <t xml:space="preserve">jamilexizurieta28@gmail.com</t>
  </si>
  <si>
    <t xml:space="preserve">Jefferson Veas</t>
  </si>
  <si>
    <t xml:space="preserve">chino.921@hotmail.com</t>
  </si>
  <si>
    <t xml:space="preserve">Kimberly Asanza Granda</t>
  </si>
  <si>
    <t xml:space="preserve">kymbella07_10@hotmail.com</t>
  </si>
  <si>
    <t xml:space="preserve">Johanna Morla Valle</t>
  </si>
  <si>
    <t xml:space="preserve">ivannamarpon@hotmail.com</t>
  </si>
  <si>
    <t xml:space="preserve">Karina Elizabeth Ricardo Perero</t>
  </si>
  <si>
    <t xml:space="preserve">kerp75@hotmail.com</t>
  </si>
  <si>
    <t xml:space="preserve">David Ramiro Enriquez Tucunango</t>
  </si>
  <si>
    <t xml:space="preserve">d_enriquez1973@hotmail.com</t>
  </si>
  <si>
    <t xml:space="preserve">Antonio Bravo</t>
  </si>
  <si>
    <t xml:space="preserve">bravocesarin@gmail.com</t>
  </si>
  <si>
    <t xml:space="preserve">se le brinda informacion por correo electronico </t>
  </si>
  <si>
    <t xml:space="preserve">Myli Hidalgo</t>
  </si>
  <si>
    <t xml:space="preserve">myli_hidalgo12@hotmail.com</t>
  </si>
  <si>
    <t xml:space="preserve">se le brinda infromacion por whatsapp </t>
  </si>
  <si>
    <t xml:space="preserve">Mirna</t>
  </si>
  <si>
    <t xml:space="preserve">minervaa84@hotmail.com</t>
  </si>
  <si>
    <t xml:space="preserve">Milton Leonardo</t>
  </si>
  <si>
    <t xml:space="preserve">vincuvalsegurity@hotmail.com</t>
  </si>
  <si>
    <t xml:space="preserve">Jefferson Orlando Marrasquin Rojas</t>
  </si>
  <si>
    <t xml:space="preserve">orlandomarrasquin@hotmail.com</t>
  </si>
  <si>
    <t xml:space="preserve">Jonathan Pesantes</t>
  </si>
  <si>
    <t xml:space="preserve">jona2287@hotmail.com</t>
  </si>
  <si>
    <t xml:space="preserve">se le brinda informacion por whatsap </t>
  </si>
  <si>
    <t xml:space="preserve">Blixi Pianchiche</t>
  </si>
  <si>
    <t xml:space="preserve">pianchichearce35@gmail.com</t>
  </si>
  <si>
    <t xml:space="preserve">Sandra Macao</t>
  </si>
  <si>
    <t xml:space="preserve">sandra_mc17@hotmail.com</t>
  </si>
  <si>
    <t xml:space="preserve">Xavier Danny Cortez Barza</t>
  </si>
  <si>
    <t xml:space="preserve">dannyxavib1982@hotmail.com</t>
  </si>
  <si>
    <t xml:space="preserve">Ricardo Guerrero</t>
  </si>
  <si>
    <t xml:space="preserve">ricarguemora@gmail.com</t>
  </si>
  <si>
    <t xml:space="preserve">Darwin Gevanny Cango Condolo</t>
  </si>
  <si>
    <t xml:space="preserve">geoivanny-@hotmail.com</t>
  </si>
  <si>
    <t xml:space="preserve">Ivonne Espinoza</t>
  </si>
  <si>
    <t xml:space="preserve">normahg@live.com</t>
  </si>
  <si>
    <t xml:space="preserve">Cesar Llinin</t>
  </si>
  <si>
    <t xml:space="preserve">cesarap12@hotmail.com</t>
  </si>
  <si>
    <t xml:space="preserve">Charro DE Oro</t>
  </si>
  <si>
    <t xml:space="preserve">qi.md.edgar2018@gmail.com</t>
  </si>
  <si>
    <t xml:space="preserve">Jake Armijos</t>
  </si>
  <si>
    <t xml:space="preserve">jakeisabel1975@hotmail.com</t>
  </si>
  <si>
    <t xml:space="preserve">Jeniffer Liset Dominguez Burgos</t>
  </si>
  <si>
    <t xml:space="preserve">jeniffer.dominguez@hotmail.com</t>
  </si>
  <si>
    <t xml:space="preserve">Cumanda Jacome</t>
  </si>
  <si>
    <t xml:space="preserve">cumandajacomein@hotmail.com</t>
  </si>
  <si>
    <t xml:space="preserve">Jossie Garnica</t>
  </si>
  <si>
    <t xml:space="preserve">josmagator@gmail.com</t>
  </si>
  <si>
    <t xml:space="preserve">Miguelinho Enrique vilela</t>
  </si>
  <si>
    <t xml:space="preserve">tyty1003@hotmail.com</t>
  </si>
  <si>
    <t xml:space="preserve">jessenia Quiroz</t>
  </si>
  <si>
    <t xml:space="preserve">valer55@hotmail.com</t>
  </si>
  <si>
    <t xml:space="preserve">se le envia informacion al correo electronico </t>
  </si>
  <si>
    <t xml:space="preserve">Betsy Troya</t>
  </si>
  <si>
    <t xml:space="preserve">galitoybetsy@hotmail.com</t>
  </si>
  <si>
    <t xml:space="preserve">paury suarez Muñoz</t>
  </si>
  <si>
    <t xml:space="preserve">gonzaloluis2008@hotmail.com</t>
  </si>
  <si>
    <t xml:space="preserve">Jaime Guanoluisa</t>
  </si>
  <si>
    <t xml:space="preserve">Jaime1604@hotmail.es</t>
  </si>
  <si>
    <t xml:space="preserve">Erik</t>
  </si>
  <si>
    <t xml:space="preserve">ecalle_2006@hotmail.com</t>
  </si>
  <si>
    <t xml:space="preserve">Euro Torres</t>
  </si>
  <si>
    <t xml:space="preserve">eurotorrestorres@hotmail.com</t>
  </si>
  <si>
    <t xml:space="preserve">karem benitez</t>
  </si>
  <si>
    <t xml:space="preserve">karen_arlette14@hotmail.com</t>
  </si>
  <si>
    <t xml:space="preserve">Belen Rosero Velasco</t>
  </si>
  <si>
    <t xml:space="preserve">Stefaniemora26@gmail.com</t>
  </si>
  <si>
    <t xml:space="preserve">palmarrealpalmarreal@hotmail.com</t>
  </si>
  <si>
    <t xml:space="preserve">Jenny Álava</t>
  </si>
  <si>
    <t xml:space="preserve">Nena.jeanexa@hotmail.com</t>
  </si>
  <si>
    <t xml:space="preserve">Wilmer BaHo</t>
  </si>
  <si>
    <t xml:space="preserve">luis_baq@hotmail.com</t>
  </si>
  <si>
    <t xml:space="preserve">Nando Luis CA</t>
  </si>
  <si>
    <t xml:space="preserve">una_cuenta12@yahoo.com</t>
  </si>
  <si>
    <t xml:space="preserve">Maria Gabriela Collantes</t>
  </si>
  <si>
    <t xml:space="preserve">gabrielacollantes24@gmail.com</t>
  </si>
  <si>
    <t xml:space="preserve">FECHA</t>
  </si>
  <si>
    <t xml:space="preserve">UNIDAD ACADEMICA</t>
  </si>
  <si>
    <t xml:space="preserve">NUEVA OBSEVACION</t>
  </si>
  <si>
    <t xml:space="preserve">RESULTADO</t>
  </si>
  <si>
    <t xml:space="preserve">mba_bordeaux</t>
  </si>
  <si>
    <t xml:space="preserve">Liva Casamayor</t>
  </si>
  <si>
    <t xml:space="preserve">Livacasamayor@gmail.com</t>
  </si>
  <si>
    <t xml:space="preserve">No Contesta, buzon de voz</t>
  </si>
  <si>
    <t xml:space="preserve">no contesta- buzon de voz</t>
  </si>
  <si>
    <t xml:space="preserve">Licenciatura en Administracion de Empresas</t>
  </si>
  <si>
    <t xml:space="preserve">Wendy Ayala</t>
  </si>
  <si>
    <t xml:space="preserve">wendy_ayala17@hotmail.com</t>
  </si>
  <si>
    <t xml:space="preserve">Pedro Juan Caballero</t>
  </si>
  <si>
    <t xml:space="preserve">PY</t>
  </si>
  <si>
    <t xml:space="preserve">Economía</t>
  </si>
  <si>
    <t xml:space="preserve">Graciela Carrizo</t>
  </si>
  <si>
    <t xml:space="preserve">turismo.altopalena@gmail.com</t>
  </si>
  <si>
    <t xml:space="preserve">palena</t>
  </si>
  <si>
    <t xml:space="preserve">CL</t>
  </si>
  <si>
    <t xml:space="preserve">se brinda informacion diplomado</t>
  </si>
  <si>
    <t xml:space="preserve">Rosa Parada</t>
  </si>
  <si>
    <t xml:space="preserve">rosaparada3008@gmail.com</t>
  </si>
  <si>
    <t xml:space="preserve">Santiago</t>
  </si>
  <si>
    <t xml:space="preserve">Indico que le Comentaria a sus padres para saber que decision tomaria</t>
  </si>
  <si>
    <t xml:space="preserve">Steffy Ninoska Castro Saavedra</t>
  </si>
  <si>
    <t xml:space="preserve">saavedraviviana743@gmail.com</t>
  </si>
  <si>
    <t xml:space="preserve">Valparaíso</t>
  </si>
  <si>
    <t xml:space="preserve">Numero Errado</t>
  </si>
  <si>
    <t xml:space="preserve">no contesta - buzon de voz</t>
  </si>
  <si>
    <t xml:space="preserve">Jesús Arias</t>
  </si>
  <si>
    <t xml:space="preserve">jesus.arias@pucp.pe</t>
  </si>
  <si>
    <t xml:space="preserve">Lima</t>
  </si>
  <si>
    <t xml:space="preserve">Av. santa cruz 270 - Jesús Maria</t>
  </si>
  <si>
    <t xml:space="preserve">Roberto Alexis Araya Alvarado</t>
  </si>
  <si>
    <t xml:space="preserve">Robertoarayaalvarado@yahoo.com</t>
  </si>
  <si>
    <t xml:space="preserve">Antofagasta</t>
  </si>
  <si>
    <t xml:space="preserve">Antofagasta Region</t>
  </si>
  <si>
    <t xml:space="preserve">El Aspirante menciono que revisaria la pagina de ulink</t>
  </si>
  <si>
    <t xml:space="preserve">skype</t>
  </si>
  <si>
    <t xml:space="preserve">Oswaldo Porras Gutierrez</t>
  </si>
  <si>
    <t xml:space="preserve">oswaldoporras@hotmail.com</t>
  </si>
  <si>
    <t xml:space="preserve">La Molina</t>
  </si>
  <si>
    <t xml:space="preserve">lima</t>
  </si>
  <si>
    <t xml:space="preserve">Solicito informacion por  correo electronico </t>
  </si>
  <si>
    <t xml:space="preserve">correo enviado</t>
  </si>
  <si>
    <t xml:space="preserve">esta analizando info volver a llamar 19/12/2018</t>
  </si>
  <si>
    <t xml:space="preserve">Vania Ruiz</t>
  </si>
  <si>
    <t xml:space="preserve">vrruiz2005@yahoo.com</t>
  </si>
  <si>
    <t xml:space="preserve">Lima Region</t>
  </si>
  <si>
    <t xml:space="preserve">MICROMASTER ALTA GERENCIA</t>
  </si>
  <si>
    <t xml:space="preserve">diplomado</t>
  </si>
  <si>
    <t xml:space="preserve">Cesar Augusto Calderon Alvarado</t>
  </si>
  <si>
    <t xml:space="preserve">ccalderon_alvarado@hotmail.com</t>
  </si>
  <si>
    <t xml:space="preserve">PE</t>
  </si>
  <si>
    <t xml:space="preserve">MICROMASTER CULTURE MANAGEMENT</t>
  </si>
  <si>
    <t xml:space="preserve">Elvis Pantaleon Dionicio</t>
  </si>
  <si>
    <t xml:space="preserve">pantaleon7_@hotmail.com</t>
  </si>
  <si>
    <t xml:space="preserve">en estos momentos no esta interesado</t>
  </si>
  <si>
    <t xml:space="preserve">licenciatura_en_administración_de_empresas_(uteg_Online)</t>
  </si>
  <si>
    <t xml:space="preserve">Liliana Molina</t>
  </si>
  <si>
    <t xml:space="preserve">lilydecorzo@hotmail.com</t>
  </si>
  <si>
    <t xml:space="preserve">Bogotá</t>
  </si>
  <si>
    <t xml:space="preserve">Colombia</t>
  </si>
  <si>
    <t xml:space="preserve">Fabricio Lima</t>
  </si>
  <si>
    <t xml:space="preserve">mlwdengineer@hotmail.com</t>
  </si>
  <si>
    <t xml:space="preserve">Neuquén</t>
  </si>
  <si>
    <t xml:space="preserve">Neuquen</t>
  </si>
  <si>
    <t xml:space="preserve">no contesta  - buzon de voz</t>
  </si>
  <si>
    <t xml:space="preserve">Dacia Nena Escalante</t>
  </si>
  <si>
    <t xml:space="preserve">nenaesle@hotmail.com</t>
  </si>
  <si>
    <t xml:space="preserve">Barranco</t>
  </si>
  <si>
    <t xml:space="preserve">El numero esta suspendido</t>
  </si>
  <si>
    <t xml:space="preserve">Veronica c Cordeschi</t>
  </si>
  <si>
    <t xml:space="preserve">cvcordeschi@gmail.com</t>
  </si>
  <si>
    <t xml:space="preserve">Salta</t>
  </si>
  <si>
    <t xml:space="preserve">salta</t>
  </si>
  <si>
    <t xml:space="preserve">Alberth Marcopolo Torres</t>
  </si>
  <si>
    <t xml:space="preserve">Al2310@hotmail.com</t>
  </si>
  <si>
    <t xml:space="preserve">Kevyn Max</t>
  </si>
  <si>
    <t xml:space="preserve">kevynmax_02@hotmail.com</t>
  </si>
  <si>
    <t xml:space="preserve">El numero no  existe</t>
  </si>
  <si>
    <t xml:space="preserve">Climton Limache Banegas</t>
  </si>
  <si>
    <t xml:space="preserve">billclimton.limache77@gmail.com</t>
  </si>
  <si>
    <t xml:space="preserve">Azángaro</t>
  </si>
  <si>
    <t xml:space="preserve">Se le brindo informacion al whatsapp y se hace seguimiento</t>
  </si>
  <si>
    <t xml:space="preserve">se brinda informacion sobre los cursos</t>
  </si>
  <si>
    <t xml:space="preserve">licenciatura_en_finanzas_(uteg_online)</t>
  </si>
  <si>
    <t xml:space="preserve">Migfalys Ixel Castillo Gallardo</t>
  </si>
  <si>
    <t xml:space="preserve">migfalyscastillo1@gmail.com</t>
  </si>
  <si>
    <t xml:space="preserve">Panama City</t>
  </si>
  <si>
    <t xml:space="preserve">PA</t>
  </si>
  <si>
    <t xml:space="preserve">No Contesta, Buzon de voz</t>
  </si>
  <si>
    <t xml:space="preserve">Numero no ha sido asignado</t>
  </si>
  <si>
    <t xml:space="preserve">numero no asignado</t>
  </si>
  <si>
    <t xml:space="preserve">Yenly Huanio Villa</t>
  </si>
  <si>
    <t xml:space="preserve">a.sophia2@hotmail.com</t>
  </si>
  <si>
    <t xml:space="preserve">pucallpa</t>
  </si>
  <si>
    <t xml:space="preserve">MICROMASTER ENTORNO INTERNACIONAL</t>
  </si>
  <si>
    <t xml:space="preserve">Liz Gamero</t>
  </si>
  <si>
    <t xml:space="preserve">unmsmlizgamero@gmail.com</t>
  </si>
  <si>
    <t xml:space="preserve">Cesar Del Aguila</t>
  </si>
  <si>
    <t xml:space="preserve">cesar.delaguila@yahoo.com</t>
  </si>
  <si>
    <t xml:space="preserve">Solicito informacion por correo electronico</t>
  </si>
  <si>
    <t xml:space="preserve">Julissa Marangunich</t>
  </si>
  <si>
    <t xml:space="preserve">julissamaran@hotmail.com</t>
  </si>
  <si>
    <t xml:space="preserve">US</t>
  </si>
  <si>
    <t xml:space="preserve">Online</t>
  </si>
  <si>
    <t xml:space="preserve">Christofher CA</t>
  </si>
  <si>
    <t xml:space="preserve">victorcallahui@hotmail.com</t>
  </si>
  <si>
    <t xml:space="preserve">Lima Perú</t>
  </si>
  <si>
    <t xml:space="preserve">Mauricio Parra Muñoz</t>
  </si>
  <si>
    <t xml:space="preserve">mauricio.parra.munoz@gmail.com</t>
  </si>
  <si>
    <t xml:space="preserve">Los Angeles</t>
  </si>
  <si>
    <t xml:space="preserve">ok</t>
  </si>
  <si>
    <t xml:space="preserve">Alejandra Escalante</t>
  </si>
  <si>
    <t xml:space="preserve">aescalante@arnet.com.ar</t>
  </si>
  <si>
    <t xml:space="preserve">Presidencia Roque Sáenz Peña</t>
  </si>
  <si>
    <t xml:space="preserve">Chaco</t>
  </si>
  <si>
    <t xml:space="preserve">Vanessa Varela</t>
  </si>
  <si>
    <t xml:space="preserve">osa9002@hotmail.com</t>
  </si>
  <si>
    <t xml:space="preserve">mensaje a tercero, volver a llamar</t>
  </si>
  <si>
    <t xml:space="preserve">liz</t>
  </si>
  <si>
    <t xml:space="preserve">portilloo.liz@hotmail.com</t>
  </si>
  <si>
    <t xml:space="preserve">Villeta</t>
  </si>
  <si>
    <t xml:space="preserve">licenciatura_en_comercio_exterior_(uteg_online)</t>
  </si>
  <si>
    <t xml:space="preserve">Araceli Cañari Aguirre</t>
  </si>
  <si>
    <t xml:space="preserve">araceli.jassmin.3@gmail.com</t>
  </si>
  <si>
    <t xml:space="preserve">enviar informacion via whatsapp</t>
  </si>
  <si>
    <t xml:space="preserve">juan pablo hernandez arias</t>
  </si>
  <si>
    <t xml:space="preserve">jphernandez0827@gmail.com</t>
  </si>
  <si>
    <t xml:space="preserve">CO</t>
  </si>
  <si>
    <t xml:space="preserve">Volver a llamar (lo consultara con su mama)</t>
  </si>
  <si>
    <t xml:space="preserve">Onice Almanza Ortega</t>
  </si>
  <si>
    <t xml:space="preserve">2552onis@gmail.com</t>
  </si>
  <si>
    <t xml:space="preserve">Solo necesitaba que le sumistraran informacion (comparando precios)</t>
  </si>
  <si>
    <t xml:space="preserve">Milu Miluska</t>
  </si>
  <si>
    <t xml:space="preserve">brendi_@hotmail.com</t>
  </si>
  <si>
    <t xml:space="preserve">Luisa Mariana Sandoval Mesa</t>
  </si>
  <si>
    <t xml:space="preserve">luisamarianas@hotmail.com</t>
  </si>
  <si>
    <t xml:space="preserve">Distrito Especial</t>
  </si>
  <si>
    <t xml:space="preserve">No Contesta (Suena Ocupado)</t>
  </si>
  <si>
    <t xml:space="preserve">Lita Ruiz</t>
  </si>
  <si>
    <t xml:space="preserve">litaford18@gmail.com</t>
  </si>
  <si>
    <t xml:space="preserve">No Contesta , Buzon de voz</t>
  </si>
  <si>
    <t xml:space="preserve">Edgar Nieto Umaña</t>
  </si>
  <si>
    <t xml:space="preserve">nietokato@yahoo.es</t>
  </si>
  <si>
    <t xml:space="preserve">Medellín</t>
  </si>
  <si>
    <t xml:space="preserve">Cundinamarca</t>
  </si>
  <si>
    <t xml:space="preserve">no esta interesado </t>
  </si>
  <si>
    <t xml:space="preserve">Manuel Rodríguez</t>
  </si>
  <si>
    <t xml:space="preserve">manuelrodriguez883@hotmail.com</t>
  </si>
  <si>
    <t xml:space="preserve">Ciudad de Minas</t>
  </si>
  <si>
    <t xml:space="preserve">Lavalleja Department</t>
  </si>
  <si>
    <t xml:space="preserve">Solicito informacion por correo electronico (interesado)</t>
  </si>
  <si>
    <t xml:space="preserve">interesado en MBA</t>
  </si>
  <si>
    <t xml:space="preserve">interesado MBA</t>
  </si>
  <si>
    <t xml:space="preserve">Carmen Castro</t>
  </si>
  <si>
    <t xml:space="preserve">keane1917@gmail.com</t>
  </si>
  <si>
    <t xml:space="preserve">costos y fechas</t>
  </si>
  <si>
    <t xml:space="preserve">esta interesada a largo plazo (mediados del proximo año)</t>
  </si>
  <si>
    <t xml:space="preserve">Ana Carrizo</t>
  </si>
  <si>
    <t xml:space="preserve">anycarri2080@gmail.com</t>
  </si>
  <si>
    <t xml:space="preserve">MBA?</t>
  </si>
  <si>
    <t xml:space="preserve">Juan Jose osorio martinez</t>
  </si>
  <si>
    <t xml:space="preserve">arte.sano2007@hotmail.com</t>
  </si>
  <si>
    <t xml:space="preserve">single</t>
  </si>
  <si>
    <t xml:space="preserve">No esta Interesado</t>
  </si>
  <si>
    <t xml:space="preserve">Fabian Neira Ocampo</t>
  </si>
  <si>
    <t xml:space="preserve">fabianneirao@gmail.com</t>
  </si>
  <si>
    <t xml:space="preserve">Miraflores</t>
  </si>
  <si>
    <t xml:space="preserve">Cesar Ovelar</t>
  </si>
  <si>
    <t xml:space="preserve">cesarovelar212@gmail.com</t>
  </si>
  <si>
    <t xml:space="preserve">San José del Rosario</t>
  </si>
  <si>
    <t xml:space="preserve">Paraguay</t>
  </si>
  <si>
    <t xml:space="preserve">Oscar Cautivo</t>
  </si>
  <si>
    <t xml:space="preserve">ocautivo@gmail.con</t>
  </si>
  <si>
    <t xml:space="preserve">Talca</t>
  </si>
  <si>
    <t xml:space="preserve">Luz Helena</t>
  </si>
  <si>
    <t xml:space="preserve">luz__arango@hotmail.com</t>
  </si>
  <si>
    <t xml:space="preserve">Palmira</t>
  </si>
  <si>
    <t xml:space="preserve">le indicara a otras personas que estan interesados en micromaster</t>
  </si>
  <si>
    <t xml:space="preserve">indica a otras personas</t>
  </si>
  <si>
    <t xml:space="preserve">Martin Alonso Gonzalez Uriarte</t>
  </si>
  <si>
    <t xml:space="preserve">martingonzalez13@hotmail.com</t>
  </si>
  <si>
    <t xml:space="preserve">Pocollay</t>
  </si>
  <si>
    <t xml:space="preserve">Interesado para mediados del proximo año</t>
  </si>
  <si>
    <t xml:space="preserve">interesado para mediados del prximo año</t>
  </si>
  <si>
    <t xml:space="preserve">MICROMASTER TALENTO HUMANO</t>
  </si>
  <si>
    <t xml:space="preserve">Jenny Rueda</t>
  </si>
  <si>
    <t xml:space="preserve">jennylorraine@hotmail.com</t>
  </si>
  <si>
    <t xml:space="preserve">avenida dies canseco 414 departamento 303</t>
  </si>
  <si>
    <t xml:space="preserve">Nùmero Equivocado</t>
  </si>
  <si>
    <t xml:space="preserve">numero incorrecto</t>
  </si>
  <si>
    <t xml:space="preserve">Maria Paola Torres Mendoza</t>
  </si>
  <si>
    <t xml:space="preserve">mptorres1@hotmail.com</t>
  </si>
  <si>
    <t xml:space="preserve">Cesar Tasso</t>
  </si>
  <si>
    <t xml:space="preserve">halconctc@yahoo.com</t>
  </si>
  <si>
    <t xml:space="preserve">Surco</t>
  </si>
  <si>
    <t xml:space="preserve">Yessenia Acero</t>
  </si>
  <si>
    <t xml:space="preserve">yessecardenas30@gmail.com</t>
  </si>
  <si>
    <t xml:space="preserve">no oontesta - buzon de voz</t>
  </si>
  <si>
    <t xml:space="preserve">Gisela Henriquez Falconi</t>
  </si>
  <si>
    <t xml:space="preserve">Gisela.henriquezf@gmail.com</t>
  </si>
  <si>
    <t xml:space="preserve">enviar informacion al whatsapp</t>
  </si>
  <si>
    <t xml:space="preserve">Seina Tora</t>
  </si>
  <si>
    <t xml:space="preserve">57 313 209 23 39</t>
  </si>
  <si>
    <t xml:space="preserve">viviryo85@hotmail.com</t>
  </si>
  <si>
    <t xml:space="preserve">Paulita Espinoza</t>
  </si>
  <si>
    <t xml:space="preserve">paulitha.andrea1998@gmail.com</t>
  </si>
  <si>
    <t xml:space="preserve">Pucón</t>
  </si>
  <si>
    <t xml:space="preserve">Ariadna Olan</t>
  </si>
  <si>
    <t xml:space="preserve">ariadnaolanbrunet@gmail.com</t>
  </si>
  <si>
    <t xml:space="preserve">Montevideo</t>
  </si>
  <si>
    <t xml:space="preserve">volver a llamar  va a verificar la informacion que le fue sumistrada</t>
  </si>
  <si>
    <t xml:space="preserve">Pamela Fariña</t>
  </si>
  <si>
    <t xml:space="preserve">pamefa94ayala@gmail.com</t>
  </si>
  <si>
    <t xml:space="preserve">Asunción</t>
  </si>
  <si>
    <t xml:space="preserve">se brindo informacion</t>
  </si>
  <si>
    <t xml:space="preserve">licenciatura_en_mercadotecnia_(uteg_online)</t>
  </si>
  <si>
    <t xml:space="preserve">Gledys Rodriguez Cruz</t>
  </si>
  <si>
    <t xml:space="preserve">gledys-ale@hotmail.com</t>
  </si>
  <si>
    <t xml:space="preserve">UY</t>
  </si>
  <si>
    <t xml:space="preserve">volver a llamar no podia atender en el momento</t>
  </si>
  <si>
    <t xml:space="preserve">Elizabeth Obregon Anco</t>
  </si>
  <si>
    <t xml:space="preserve">elizabethobregonanco@gmail.com</t>
  </si>
  <si>
    <t xml:space="preserve">Ricardo Duran</t>
  </si>
  <si>
    <t xml:space="preserve">duran.negociosinternacionales@gmail.com</t>
  </si>
  <si>
    <t xml:space="preserve">Quillota</t>
  </si>
  <si>
    <t xml:space="preserve">Valparaiso</t>
  </si>
  <si>
    <t xml:space="preserve">se brinda informacion MBA</t>
  </si>
  <si>
    <t xml:space="preserve">Tiffany Huayllasco Peña</t>
  </si>
  <si>
    <t xml:space="preserve">tiff2588@hotmail.com</t>
  </si>
  <si>
    <t xml:space="preserve">no esta interesada</t>
  </si>
  <si>
    <t xml:space="preserve">Rafael Sánchez García</t>
  </si>
  <si>
    <t xml:space="preserve">ransaga09@hotmail.com</t>
  </si>
  <si>
    <t xml:space="preserve">Perú</t>
  </si>
  <si>
    <t xml:space="preserve">Alba Franco</t>
  </si>
  <si>
    <t xml:space="preserve">cafeinteriorano@gmail.com</t>
  </si>
  <si>
    <t xml:space="preserve">panama</t>
  </si>
  <si>
    <t xml:space="preserve">se brinda informacion</t>
  </si>
  <si>
    <t xml:space="preserve">Hugo A A</t>
  </si>
  <si>
    <t xml:space="preserve">halvareza@usmp.pe</t>
  </si>
  <si>
    <t xml:space="preserve">Berenisa Miriam Saldarriaga Espinoza</t>
  </si>
  <si>
    <t xml:space="preserve">majita2970@gmail.com</t>
  </si>
  <si>
    <t xml:space="preserve">Roberto Soto Ospina</t>
  </si>
  <si>
    <t xml:space="preserve">rsoto@mjmexpress.pe</t>
  </si>
  <si>
    <t xml:space="preserve">Roice Rey</t>
  </si>
  <si>
    <t xml:space="preserve">reneroicerp@gmail.com</t>
  </si>
  <si>
    <t xml:space="preserve">Josselyn Castro</t>
  </si>
  <si>
    <t xml:space="preserve">email jossymce@gmail.com</t>
  </si>
  <si>
    <t xml:space="preserve">Interesado en MBA </t>
  </si>
  <si>
    <t xml:space="preserve">Beatriz Alvez</t>
  </si>
  <si>
    <t xml:space="preserve">beatrizalvez@hotmail.com</t>
  </si>
  <si>
    <t xml:space="preserve">Tacuarembó</t>
  </si>
  <si>
    <t xml:space="preserve">Uruguay</t>
  </si>
  <si>
    <t xml:space="preserve">se brinda informacion por wahssapp</t>
  </si>
  <si>
    <t xml:space="preserve">Juan Santoyo</t>
  </si>
  <si>
    <t xml:space="preserve">juansantoyo@gmail.com</t>
  </si>
  <si>
    <t xml:space="preserve">La Lima</t>
  </si>
  <si>
    <t xml:space="preserve">Esperanza Hernandez</t>
  </si>
  <si>
    <t xml:space="preserve">esperanzahernandez0405@hotmail.com</t>
  </si>
  <si>
    <t xml:space="preserve">Cúcuta</t>
  </si>
  <si>
    <t xml:space="preserve">aqui</t>
  </si>
  <si>
    <t xml:space="preserve">volver a llamar el lunes 17/12/2108 a las 10:00am</t>
  </si>
  <si>
    <t xml:space="preserve">fabri</t>
  </si>
  <si>
    <t xml:space="preserve">fabriciasosa9@gmail.com</t>
  </si>
  <si>
    <t xml:space="preserve">Paysandu</t>
  </si>
  <si>
    <t xml:space="preserve">no  contesta - buzon de voz</t>
  </si>
  <si>
    <t xml:space="preserve">Ana Altamirano Bercera Amba</t>
  </si>
  <si>
    <t xml:space="preserve">anabercera1997@hotmail.com</t>
  </si>
  <si>
    <t xml:space="preserve">no recuerda si solicito la informacion</t>
  </si>
  <si>
    <t xml:space="preserve">Carla Muñoz Barrientos</t>
  </si>
  <si>
    <t xml:space="preserve">krmb_16@hotmail.com</t>
  </si>
  <si>
    <t xml:space="preserve">Dalcahue</t>
  </si>
  <si>
    <t xml:space="preserve">Tania Franco</t>
  </si>
  <si>
    <t xml:space="preserve">taniadejesusfranco@gmail.com</t>
  </si>
  <si>
    <t xml:space="preserve">Marcelo Alejandro Cevo Silva</t>
  </si>
  <si>
    <t xml:space="preserve">mcevos@gmail.com</t>
  </si>
  <si>
    <t xml:space="preserve">Lampa</t>
  </si>
  <si>
    <t xml:space="preserve">indico que validaria la informacion que se le sumistro</t>
  </si>
  <si>
    <t xml:space="preserve">Livia Villafuerte Campos</t>
  </si>
  <si>
    <t xml:space="preserve">Livia.villafuerte@hotmail.com</t>
  </si>
  <si>
    <t xml:space="preserve">Santiago De Surco</t>
  </si>
  <si>
    <t xml:space="preserve">Jorge Muñoz G</t>
  </si>
  <si>
    <t xml:space="preserve">jorge.mun.g3@hotmail.com</t>
  </si>
  <si>
    <t xml:space="preserve">no esta interesado ya esta inscrito en otro diplomado </t>
  </si>
  <si>
    <t xml:space="preserve">Víctor Rafael Vilela Coca</t>
  </si>
  <si>
    <t xml:space="preserve">raffovilela@hotmail.com</t>
  </si>
  <si>
    <t xml:space="preserve">Huacho</t>
  </si>
  <si>
    <t xml:space="preserve">Esther Mundaray Simosa</t>
  </si>
  <si>
    <t xml:space="preserve">stike_0409@hotmail.com</t>
  </si>
  <si>
    <t xml:space="preserve">En el momento no se encuentra interesada, pero tendrá en cuenta las opciones para los cursos</t>
  </si>
  <si>
    <t xml:space="preserve">Angela F Ruiz Za.</t>
  </si>
  <si>
    <t xml:space="preserve">angela.ruizate@gmail.com</t>
  </si>
  <si>
    <t xml:space="preserve">Santa Clara</t>
  </si>
  <si>
    <t xml:space="preserve">se brinda informacion - indica q no esta interesada modalidad de estudio.</t>
  </si>
  <si>
    <t xml:space="preserve">se brinda informacion - indica que no esta interesada en la modalidad de estudio</t>
  </si>
  <si>
    <t xml:space="preserve">Reyes Jacinto</t>
  </si>
  <si>
    <t xml:space="preserve">bomberjasin@gmail.com</t>
  </si>
  <si>
    <t xml:space="preserve">Concepción</t>
  </si>
  <si>
    <t xml:space="preserve">interesado se le envio informacion al correo electronico</t>
  </si>
  <si>
    <t xml:space="preserve">Meliton Valeriano Mamani</t>
  </si>
  <si>
    <t xml:space="preserve">melivale13fsm@gmail.com</t>
  </si>
  <si>
    <t xml:space="preserve">Ayaviri</t>
  </si>
  <si>
    <t xml:space="preserve">soe le brindo informacion por llamada</t>
  </si>
  <si>
    <t xml:space="preserve">Diana Ojanama</t>
  </si>
  <si>
    <t xml:space="preserve">dianaojanama96@gmail.com</t>
  </si>
  <si>
    <t xml:space="preserve">estaba averiguando informacion de las universidades</t>
  </si>
  <si>
    <t xml:space="preserve">Forber Parra</t>
  </si>
  <si>
    <t xml:space="preserve">folber2015@gmail.com</t>
  </si>
  <si>
    <t xml:space="preserve">medellin</t>
  </si>
  <si>
    <t xml:space="preserve">verificara informacion pendiente en el correo electronico</t>
  </si>
  <si>
    <t xml:space="preserve">Andrea Benavides</t>
  </si>
  <si>
    <t xml:space="preserve">provibello38@gmail.com</t>
  </si>
  <si>
    <t xml:space="preserve">Villarrica</t>
  </si>
  <si>
    <t xml:space="preserve">Pamela Castillo</t>
  </si>
  <si>
    <t xml:space="preserve">pamecastillo3@gmail.com</t>
  </si>
  <si>
    <t xml:space="preserve">Benitez Mary</t>
  </si>
  <si>
    <t xml:space="preserve">benitezmary190@gmail.com</t>
  </si>
  <si>
    <t xml:space="preserve">Encarnación</t>
  </si>
  <si>
    <t xml:space="preserve">No se encontraba se agenda nueva llamada</t>
  </si>
  <si>
    <t xml:space="preserve">Karen lizeth garzon</t>
  </si>
  <si>
    <t xml:space="preserve">Garzonkaren@hotmail.com</t>
  </si>
  <si>
    <t xml:space="preserve">no contesta - buzon de  voz</t>
  </si>
  <si>
    <t xml:space="preserve">se le envia informacion po correo electronico</t>
  </si>
  <si>
    <t xml:space="preserve">Se envía nuevamente información al correo</t>
  </si>
  <si>
    <t xml:space="preserve">Eliana Rodríguez</t>
  </si>
  <si>
    <t xml:space="preserve">eliana.blueangel@gmail.com</t>
  </si>
  <si>
    <t xml:space="preserve">va a verificar la informacion sumistrada volver a llamar</t>
  </si>
  <si>
    <t xml:space="preserve">En el momento no se encuentra interesada, el micromaster le parece muy largo</t>
  </si>
  <si>
    <t xml:space="preserve">Analía Fabrello</t>
  </si>
  <si>
    <t xml:space="preserve">analiafabrello@hotmail.com</t>
  </si>
  <si>
    <t xml:space="preserve">Corrientes</t>
  </si>
  <si>
    <t xml:space="preserve">Corrientes Province</t>
  </si>
  <si>
    <t xml:space="preserve">no contesta -buzon de voz</t>
  </si>
  <si>
    <t xml:space="preserve">culture_management_nuevas_formas_de_hacer_negocios</t>
  </si>
  <si>
    <t xml:space="preserve">micromasters</t>
  </si>
  <si>
    <t xml:space="preserve">Roberto Diaz</t>
  </si>
  <si>
    <t xml:space="preserve">rlimay@hotmail.it</t>
  </si>
  <si>
    <t xml:space="preserve">descartado indica que esta muy costoso</t>
  </si>
  <si>
    <t xml:space="preserve">gestion_del_talento_humano_basado_en_competencias</t>
  </si>
  <si>
    <t xml:space="preserve">Jessica Ramirez</t>
  </si>
  <si>
    <t xml:space="preserve">jeraga24_89@yahoo.es</t>
  </si>
  <si>
    <t xml:space="preserve">volver a llamar esta ocupada</t>
  </si>
  <si>
    <t xml:space="preserve">Eduardo Chiscul</t>
  </si>
  <si>
    <t xml:space="preserve">isohsas91418@gmail.com</t>
  </si>
  <si>
    <t xml:space="preserve">volver a llamar esta ocupado</t>
  </si>
  <si>
    <t xml:space="preserve">alta_gerencia_y_control_de_gestion</t>
  </si>
  <si>
    <t xml:space="preserve">jose antonio</t>
  </si>
  <si>
    <t xml:space="preserve">jdiazest43@gmail.com</t>
  </si>
  <si>
    <t xml:space="preserve">Chile</t>
  </si>
  <si>
    <t xml:space="preserve">Libardo Acero</t>
  </si>
  <si>
    <t xml:space="preserve">libardo_ac@hotmail.com</t>
  </si>
  <si>
    <t xml:space="preserve">turismo_inteligente_y_competitividad_internacional</t>
  </si>
  <si>
    <t xml:space="preserve">Nelly Nelly Abanto Delgado</t>
  </si>
  <si>
    <t xml:space="preserve">inversiones_armenia@hotmail.com</t>
  </si>
  <si>
    <t xml:space="preserve">Jazmin López</t>
  </si>
  <si>
    <t xml:space="preserve">jazcarlo@gmail.com</t>
  </si>
  <si>
    <t xml:space="preserve">San Juan del Sur</t>
  </si>
  <si>
    <t xml:space="preserve">NI</t>
  </si>
  <si>
    <t xml:space="preserve">SE AGENDA NUEVA LLAMADA PARA MIRAR EL PROCESO DE SUSCRIPCIÓN</t>
  </si>
  <si>
    <t xml:space="preserve">Se agenda nueva llamada para mirar el proceso de suscripción</t>
  </si>
  <si>
    <t xml:space="preserve">Iliana Raquel Palma</t>
  </si>
  <si>
    <t xml:space="preserve">ilianaraquelpalma@hotmail.com</t>
  </si>
  <si>
    <t xml:space="preserve">David Chiriqui</t>
  </si>
  <si>
    <t xml:space="preserve">Se envia correo con información y se agenda nueva llamada</t>
  </si>
  <si>
    <t xml:space="preserve">D A N I E L G A L I N D O</t>
  </si>
  <si>
    <t xml:space="preserve">actor12@hotmail.com</t>
  </si>
  <si>
    <t xml:space="preserve">Se envía información al correo electrónico y se agenda nueva llamada </t>
  </si>
  <si>
    <t xml:space="preserve">Esteban Perry Mercado</t>
  </si>
  <si>
    <t xml:space="preserve">esteban.perry@hotmail.com</t>
  </si>
  <si>
    <t xml:space="preserve">Puerto Maldonado</t>
  </si>
  <si>
    <t xml:space="preserve">Se Le EnvÍa Informacion Al Correo, Se Agenda Nueva Llamada</t>
  </si>
  <si>
    <t xml:space="preserve">se envía nuevamente información al correo</t>
  </si>
  <si>
    <t xml:space="preserve">Carlos Torres</t>
  </si>
  <si>
    <t xml:space="preserve">ctorres73@hotmail.com</t>
  </si>
  <si>
    <t xml:space="preserve">Se envía información al correo y  se agenda nueva llamada</t>
  </si>
  <si>
    <t xml:space="preserve">Estaba en reunión, indica que responderá al correo y se agenda nueva llamada </t>
  </si>
  <si>
    <t xml:space="preserve">Maribel Paucar Boza</t>
  </si>
  <si>
    <t xml:space="preserve">mpb6802@gmail.com</t>
  </si>
  <si>
    <t xml:space="preserve">Huancayo</t>
  </si>
  <si>
    <t xml:space="preserve">Carlos Duarte</t>
  </si>
  <si>
    <t xml:space="preserve">carlosgil812@gmail.com</t>
  </si>
  <si>
    <t xml:space="preserve">En el momento no se encuentra interesado </t>
  </si>
  <si>
    <t xml:space="preserve">Luis Ormeño Caisafana</t>
  </si>
  <si>
    <t xml:space="preserve">lormenoc@gmail.com</t>
  </si>
  <si>
    <t xml:space="preserve">Se EnvÍa InformaciÓn Al Correo ElectrÓnico Y Se Agenda Nueva Llamada Para El Dia  26 De Diciembre</t>
  </si>
  <si>
    <t xml:space="preserve">Richard Collantes Espinoza</t>
  </si>
  <si>
    <t xml:space="preserve">rychy21@hotmail.com</t>
  </si>
  <si>
    <t xml:space="preserve">Yhoan Manuel Moreno</t>
  </si>
  <si>
    <t xml:space="preserve">moreno.yhoan.89@gmail.com</t>
  </si>
  <si>
    <t xml:space="preserve">San Juan de Lurigancho</t>
  </si>
  <si>
    <t xml:space="preserve">Deivid Pazmiño</t>
  </si>
  <si>
    <t xml:space="preserve">deividp560@gmail.com</t>
  </si>
  <si>
    <t xml:space="preserve">Max Ylich Leon Pinto</t>
  </si>
  <si>
    <t xml:space="preserve">mleon1001@hotmail.com</t>
  </si>
  <si>
    <t xml:space="preserve">Giannina Ayala</t>
  </si>
  <si>
    <t xml:space="preserve">acbrigs@hotmail.com</t>
  </si>
  <si>
    <t xml:space="preserve">Juan Pablo</t>
  </si>
  <si>
    <t xml:space="preserve">jp_sanmar@yahoo.es</t>
  </si>
  <si>
    <t xml:space="preserve">STGO</t>
  </si>
  <si>
    <t xml:space="preserve">Erick Gabriel Reyes Murillo</t>
  </si>
  <si>
    <t xml:space="preserve">erickreyes007@gmail.com</t>
  </si>
  <si>
    <t xml:space="preserve">Jhonatan Flores M</t>
  </si>
  <si>
    <t xml:space="preserve">karishop@hotmail.com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</si>
</sst>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 MMM"/>
    <numFmt numFmtId="166" formatCode="0.00E+00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sz val="10"/>
      <color rgb="FF1D2129"/>
      <name val="Verdana"/>
      <family val="0"/>
      <charset val="1"/>
    </font>
    <font>
      <u val="single"/>
      <sz val="10"/>
      <color rgb="FF0563C1"/>
      <name val="Verdana"/>
      <family val="0"/>
      <charset val="1"/>
    </font>
    <font>
      <sz val="11"/>
      <name val="Verdana"/>
      <family val="0"/>
      <charset val="1"/>
    </font>
    <font>
      <sz val="10"/>
      <color rgb="FF333333"/>
      <name val="Verdana"/>
      <family val="0"/>
      <charset val="1"/>
    </font>
    <font>
      <sz val="10"/>
      <color rgb="FF555555"/>
      <name val="Verdana"/>
      <family val="0"/>
      <charset val="1"/>
    </font>
    <font>
      <sz val="10"/>
      <color rgb="FF1C1E21"/>
      <name val="Verdana"/>
      <family val="0"/>
      <charset val="1"/>
    </font>
    <font>
      <sz val="10"/>
      <color rgb="FFFF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sz val="11"/>
      <name val="Cambria"/>
      <family val="0"/>
      <charset val="1"/>
    </font>
    <font>
      <sz val="11"/>
      <color rgb="FF333333"/>
      <name val="&quot;Source Sans Pro&quot;"/>
      <family val="0"/>
      <charset val="1"/>
    </font>
    <font>
      <sz val="11"/>
      <color rgb="FF000000"/>
      <name val="Verdana"/>
      <family val="0"/>
      <charset val="1"/>
    </font>
    <font>
      <sz val="11"/>
      <color rgb="FF1D2129"/>
      <name val="Verdana"/>
      <family val="0"/>
      <charset val="1"/>
    </font>
    <font>
      <u val="single"/>
      <sz val="11"/>
      <color rgb="FF0563C1"/>
      <name val="Verdana"/>
      <family val="0"/>
      <charset val="1"/>
    </font>
    <font>
      <sz val="11"/>
      <color rgb="FF1D2129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name val="Arial"/>
      <family val="0"/>
      <charset val="1"/>
    </font>
    <font>
      <u val="single"/>
      <sz val="11"/>
      <color rgb="FF0563C1"/>
      <name val="Arial"/>
      <family val="0"/>
      <charset val="1"/>
    </font>
    <font>
      <u val="single"/>
      <sz val="11"/>
      <color rgb="FF0000FF"/>
      <name val="Verdana"/>
      <family val="0"/>
      <charset val="1"/>
    </font>
    <font>
      <sz val="11"/>
      <color rgb="FF000000"/>
      <name val="Inherit"/>
      <family val="0"/>
      <charset val="1"/>
    </font>
    <font>
      <sz val="11"/>
      <color rgb="FF1C1E21"/>
      <name val="Arial"/>
      <family val="0"/>
      <charset val="1"/>
    </font>
    <font>
      <sz val="11"/>
      <color rgb="FF333333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9"/>
      <name val="Arial"/>
      <family val="0"/>
      <charset val="1"/>
    </font>
    <font>
      <sz val="9"/>
      <name val="Arial"/>
      <family val="0"/>
      <charset val="1"/>
    </font>
    <font>
      <sz val="9"/>
      <color rgb="FF1D2129"/>
      <name val="Arial"/>
      <family val="0"/>
      <charset val="1"/>
    </font>
    <font>
      <sz val="9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1F0F0"/>
      </patternFill>
    </fill>
    <fill>
      <patternFill patternType="solid">
        <fgColor rgb="FFF1F0F0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32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2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4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F1F0F0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9F9F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1C1E21"/>
      <rgbColor rgb="FF1D2129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_388@hotmail.%20com" TargetMode="External"/><Relationship Id="rId2" Type="http://schemas.openxmlformats.org/officeDocument/2006/relationships/hyperlink" Target="mailto:yestefans@hotmail.com" TargetMode="External"/><Relationship Id="rId3" Type="http://schemas.openxmlformats.org/officeDocument/2006/relationships/hyperlink" Target="mailto:betsy_92@outlook.com" TargetMode="External"/><Relationship Id="rId4" Type="http://schemas.openxmlformats.org/officeDocument/2006/relationships/hyperlink" Target="mailto:ajenelith_15_99@live.com" TargetMode="External"/><Relationship Id="rId5" Type="http://schemas.openxmlformats.org/officeDocument/2006/relationships/hyperlink" Target="http://erikalorenavillamargarciagmail.com/" TargetMode="External"/><Relationship Id="rId6" Type="http://schemas.openxmlformats.org/officeDocument/2006/relationships/hyperlink" Target="mailto:fernandap90@Hotmail.com" TargetMode="External"/><Relationship Id="rId7" Type="http://schemas.openxmlformats.org/officeDocument/2006/relationships/hyperlink" Target="mailto:katherine.hurtadoq@gmail.com" TargetMode="External"/><Relationship Id="rId8" Type="http://schemas.openxmlformats.org/officeDocument/2006/relationships/hyperlink" Target="mailto:Mafer.z.r_1985@hotmail.com" TargetMode="External"/><Relationship Id="rId9" Type="http://schemas.openxmlformats.org/officeDocument/2006/relationships/hyperlink" Target="mailto:johanitaeli1994@hotmail.com" TargetMode="External"/><Relationship Id="rId10" Type="http://schemas.openxmlformats.org/officeDocument/2006/relationships/hyperlink" Target="mailto:leonelamendez@hotmail.com" TargetMode="External"/><Relationship Id="rId11" Type="http://schemas.openxmlformats.org/officeDocument/2006/relationships/hyperlink" Target="mailto:vanessajacome1907@gmail.com" TargetMode="External"/><Relationship Id="rId12" Type="http://schemas.openxmlformats.org/officeDocument/2006/relationships/hyperlink" Target="mailto:leonelamendez@hotmail.com" TargetMode="External"/><Relationship Id="rId13" Type="http://schemas.openxmlformats.org/officeDocument/2006/relationships/hyperlink" Target="mailto:adrian10barcelona@outlook.com" TargetMode="External"/><Relationship Id="rId14" Type="http://schemas.openxmlformats.org/officeDocument/2006/relationships/hyperlink" Target="mailto:angeljessi.1993_@hotmail.com" TargetMode="External"/><Relationship Id="rId15" Type="http://schemas.openxmlformats.org/officeDocument/2006/relationships/hyperlink" Target="mailto:jesicabenavides@hotmail.com" TargetMode="External"/><Relationship Id="rId16" Type="http://schemas.openxmlformats.org/officeDocument/2006/relationships/hyperlink" Target="mailto:diegoaucanshala71@gmail.com" TargetMode="External"/><Relationship Id="rId17" Type="http://schemas.openxmlformats.org/officeDocument/2006/relationships/hyperlink" Target="mailto:aracely88_24@hotmail.com" TargetMode="External"/><Relationship Id="rId18" Type="http://schemas.openxmlformats.org/officeDocument/2006/relationships/hyperlink" Target="mailto:david.romero.mendez@hotmail.com" TargetMode="External"/><Relationship Id="rId19" Type="http://schemas.openxmlformats.org/officeDocument/2006/relationships/hyperlink" Target="mailto:vizueteandres.22@gmail.com" TargetMode="External"/><Relationship Id="rId20" Type="http://schemas.openxmlformats.org/officeDocument/2006/relationships/hyperlink" Target="mailto:lb77953@gmail.com" TargetMode="External"/><Relationship Id="rId21" Type="http://schemas.openxmlformats.org/officeDocument/2006/relationships/hyperlink" Target="mailto:yarythebest40@gmail.com" TargetMode="External"/><Relationship Id="rId22" Type="http://schemas.openxmlformats.org/officeDocument/2006/relationships/hyperlink" Target="mailto:blanca.bermudez@edu.gob.ec" TargetMode="External"/><Relationship Id="rId23" Type="http://schemas.openxmlformats.org/officeDocument/2006/relationships/hyperlink" Target="mailto:dayannajaramilloperez@gmail.com" TargetMode="External"/><Relationship Id="rId24" Type="http://schemas.openxmlformats.org/officeDocument/2006/relationships/hyperlink" Target="mailto:leolicoa1999@hotmail.com" TargetMode="External"/><Relationship Id="rId25" Type="http://schemas.openxmlformats.org/officeDocument/2006/relationships/hyperlink" Target="http://jenniferpatriciabrionesdelgado.com/" TargetMode="External"/><Relationship Id="rId26" Type="http://schemas.openxmlformats.org/officeDocument/2006/relationships/hyperlink" Target="mailto:pamelaubillayepez@live.com" TargetMode="External"/><Relationship Id="rId27" Type="http://schemas.openxmlformats.org/officeDocument/2006/relationships/hyperlink" Target="mailto:rossyparrales88@gmail.com" TargetMode="External"/><Relationship Id="rId28" Type="http://schemas.openxmlformats.org/officeDocument/2006/relationships/hyperlink" Target="mailto:mahm11543@gmail.com" TargetMode="External"/><Relationship Id="rId29" Type="http://schemas.openxmlformats.org/officeDocument/2006/relationships/hyperlink" Target="mailto:laura-zam1@hotmail.com" TargetMode="External"/><Relationship Id="rId30" Type="http://schemas.openxmlformats.org/officeDocument/2006/relationships/hyperlink" Target="mailto:angeerivera00tircio@gmail.com" TargetMode="External"/><Relationship Id="rId31" Type="http://schemas.openxmlformats.org/officeDocument/2006/relationships/hyperlink" Target="mailto:flaquita_amor@outlook.es" TargetMode="External"/><Relationship Id="rId32" Type="http://schemas.openxmlformats.org/officeDocument/2006/relationships/hyperlink" Target="mailto:cainlema@outlook.com" TargetMode="External"/><Relationship Id="rId33" Type="http://schemas.openxmlformats.org/officeDocument/2006/relationships/hyperlink" Target="mailto:cainlema@outlook.com" TargetMode="External"/><Relationship Id="rId34" Type="http://schemas.openxmlformats.org/officeDocument/2006/relationships/hyperlink" Target="mailto:kelvin_rendon19@hotmail.com" TargetMode="External"/><Relationship Id="rId35" Type="http://schemas.openxmlformats.org/officeDocument/2006/relationships/hyperlink" Target="mailto:licdo_ivan_caseres@hotmail.com" TargetMode="External"/><Relationship Id="rId36" Type="http://schemas.openxmlformats.org/officeDocument/2006/relationships/hyperlink" Target="mailto:viniarce197@hotmail.com" TargetMode="External"/><Relationship Id="rId37" Type="http://schemas.openxmlformats.org/officeDocument/2006/relationships/hyperlink" Target="mailto:kevinjaviercruz@hotmail.com" TargetMode="External"/><Relationship Id="rId38" Type="http://schemas.openxmlformats.org/officeDocument/2006/relationships/hyperlink" Target="mailto:jarixavece@hotmail.com" TargetMode="External"/><Relationship Id="rId39" Type="http://schemas.openxmlformats.org/officeDocument/2006/relationships/hyperlink" Target="mailto:andreadelpozogaray1@gmail.com" TargetMode="External"/><Relationship Id="rId40" Type="http://schemas.openxmlformats.org/officeDocument/2006/relationships/hyperlink" Target="mailto:thebest-21@live.com" TargetMode="External"/><Relationship Id="rId41" Type="http://schemas.openxmlformats.org/officeDocument/2006/relationships/hyperlink" Target="mailto:Angelaus067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7" activeCellId="0" sqref="H7"/>
    </sheetView>
  </sheetViews>
  <sheetFormatPr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4"/>
    <col collapsed="false" customWidth="true" hidden="false" outlineLevel="0" max="3" min="3" style="0" width="10.86"/>
    <col collapsed="false" customWidth="true" hidden="false" outlineLevel="0" max="4" min="4" style="0" width="12.29"/>
    <col collapsed="false" customWidth="true" hidden="false" outlineLevel="0" max="5" min="5" style="0" width="16.14"/>
    <col collapsed="false" customWidth="true" hidden="false" outlineLevel="0" max="6" min="6" style="0" width="37.99"/>
    <col collapsed="false" customWidth="true" hidden="false" outlineLevel="0" max="7" min="7" style="0" width="20.14"/>
    <col collapsed="false" customWidth="true" hidden="false" outlineLevel="0" max="8" min="8" style="0" width="33.43"/>
    <col collapsed="false" customWidth="true" hidden="false" outlineLevel="0" max="9" min="9" style="0" width="7.29"/>
    <col collapsed="false" customWidth="true" hidden="false" outlineLevel="0" max="10" min="10" style="0" width="4.86"/>
    <col collapsed="false" customWidth="true" hidden="false" outlineLevel="0" max="11" min="11" style="0" width="50.14"/>
    <col collapsed="false" customWidth="true" hidden="false" outlineLevel="0" max="12" min="12" style="0" width="14.7"/>
    <col collapsed="false" customWidth="true" hidden="false" outlineLevel="0" max="13" min="13" style="0" width="4.71"/>
    <col collapsed="false" customWidth="true" hidden="false" outlineLevel="0" max="14" min="14" style="0" width="4.57"/>
    <col collapsed="false" customWidth="true" hidden="false" outlineLevel="0" max="15" min="15" style="0" width="4.29"/>
    <col collapsed="false" customWidth="true" hidden="false" outlineLevel="0" max="16" min="16" style="0" width="31.57"/>
    <col collapsed="false" customWidth="true" hidden="false" outlineLevel="0" max="1025" min="17" style="0" width="14.43"/>
  </cols>
  <sheetData>
    <row r="1" customFormat="false" ht="21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3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1.75" hidden="false" customHeight="true" outlineLevel="0" collapsed="false">
      <c r="A2" s="4" t="n">
        <v>43440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n">
        <f aca="false">+593980766185</f>
        <v>593980766185</v>
      </c>
      <c r="H2" s="1" t="s">
        <v>19</v>
      </c>
      <c r="I2" s="5"/>
      <c r="J2" s="5"/>
      <c r="K2" s="1" t="s">
        <v>20</v>
      </c>
      <c r="L2" s="1" t="s">
        <v>21</v>
      </c>
      <c r="M2" s="1"/>
      <c r="N2" s="1"/>
      <c r="O2" s="1"/>
      <c r="P2" s="6" t="s">
        <v>21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1.75" hidden="false" customHeight="true" outlineLevel="0" collapsed="false">
      <c r="A3" s="4" t="n">
        <v>43440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22</v>
      </c>
      <c r="G3" s="1" t="n">
        <f aca="false">+593984536740</f>
        <v>593984536740</v>
      </c>
      <c r="H3" s="7" t="s">
        <v>23</v>
      </c>
      <c r="I3" s="1" t="s">
        <v>24</v>
      </c>
      <c r="J3" s="1"/>
      <c r="K3" s="1" t="s">
        <v>21</v>
      </c>
      <c r="L3" s="1" t="s">
        <v>25</v>
      </c>
      <c r="M3" s="1"/>
      <c r="N3" s="1"/>
      <c r="O3" s="1"/>
      <c r="P3" s="6" t="s">
        <v>21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1.75" hidden="false" customHeight="true" outlineLevel="0" collapsed="false">
      <c r="A4" s="4" t="n">
        <v>43440</v>
      </c>
      <c r="B4" s="1" t="s">
        <v>14</v>
      </c>
      <c r="C4" s="1" t="s">
        <v>26</v>
      </c>
      <c r="D4" s="1" t="s">
        <v>16</v>
      </c>
      <c r="E4" s="1" t="s">
        <v>17</v>
      </c>
      <c r="F4" s="1" t="s">
        <v>27</v>
      </c>
      <c r="G4" s="1" t="n">
        <f aca="false">+593980361119</f>
        <v>593980361119</v>
      </c>
      <c r="H4" s="1" t="s">
        <v>28</v>
      </c>
      <c r="I4" s="5"/>
      <c r="J4" s="5"/>
      <c r="K4" s="1" t="s">
        <v>29</v>
      </c>
      <c r="L4" s="1" t="s">
        <v>21</v>
      </c>
      <c r="M4" s="1" t="s">
        <v>21</v>
      </c>
      <c r="N4" s="1" t="s">
        <v>21</v>
      </c>
      <c r="O4" s="1" t="s">
        <v>30</v>
      </c>
      <c r="P4" s="6" t="s">
        <v>31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1.75" hidden="false" customHeight="true" outlineLevel="0" collapsed="false">
      <c r="A5" s="4" t="n">
        <v>43440</v>
      </c>
      <c r="B5" s="1" t="s">
        <v>14</v>
      </c>
      <c r="C5" s="1" t="s">
        <v>26</v>
      </c>
      <c r="D5" s="1" t="s">
        <v>16</v>
      </c>
      <c r="E5" s="1" t="s">
        <v>17</v>
      </c>
      <c r="F5" s="1" t="s">
        <v>32</v>
      </c>
      <c r="G5" s="1" t="n">
        <f aca="false">+593997761166</f>
        <v>593997761166</v>
      </c>
      <c r="H5" s="1" t="s">
        <v>33</v>
      </c>
      <c r="I5" s="5"/>
      <c r="J5" s="5"/>
      <c r="K5" s="1" t="s">
        <v>34</v>
      </c>
      <c r="L5" s="1" t="s">
        <v>21</v>
      </c>
      <c r="M5" s="1" t="s">
        <v>35</v>
      </c>
      <c r="N5" s="1" t="s">
        <v>36</v>
      </c>
      <c r="O5" s="1"/>
      <c r="P5" s="6" t="s">
        <v>37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1.75" hidden="false" customHeight="true" outlineLevel="0" collapsed="false">
      <c r="A6" s="4" t="n">
        <v>43440</v>
      </c>
      <c r="B6" s="1" t="s">
        <v>14</v>
      </c>
      <c r="C6" s="1" t="s">
        <v>26</v>
      </c>
      <c r="D6" s="1" t="s">
        <v>16</v>
      </c>
      <c r="E6" s="1" t="s">
        <v>17</v>
      </c>
      <c r="F6" s="1" t="s">
        <v>38</v>
      </c>
      <c r="G6" s="1" t="n">
        <f aca="false">+593996917983</f>
        <v>593996917983</v>
      </c>
      <c r="H6" s="0" t="s">
        <v>39</v>
      </c>
      <c r="I6" s="5"/>
      <c r="J6" s="5"/>
      <c r="K6" s="1" t="s">
        <v>40</v>
      </c>
      <c r="L6" s="1" t="s">
        <v>41</v>
      </c>
      <c r="M6" s="1" t="s">
        <v>21</v>
      </c>
      <c r="N6" s="1"/>
      <c r="O6" s="1"/>
      <c r="P6" s="6" t="s">
        <v>21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1.75" hidden="false" customHeight="true" outlineLevel="0" collapsed="false">
      <c r="A7" s="4" t="n">
        <v>43440</v>
      </c>
      <c r="B7" s="8" t="s">
        <v>42</v>
      </c>
      <c r="C7" s="1" t="s">
        <v>15</v>
      </c>
      <c r="D7" s="1" t="s">
        <v>43</v>
      </c>
      <c r="E7" s="1" t="s">
        <v>44</v>
      </c>
      <c r="F7" s="1" t="s">
        <v>45</v>
      </c>
      <c r="G7" s="1" t="n">
        <f aca="false">+5930984988225</f>
        <v>5930984988225</v>
      </c>
      <c r="H7" s="1" t="s">
        <v>46</v>
      </c>
      <c r="I7" s="1" t="s">
        <v>47</v>
      </c>
      <c r="J7" s="1"/>
      <c r="K7" s="1" t="s">
        <v>21</v>
      </c>
      <c r="L7" s="1" t="s">
        <v>21</v>
      </c>
      <c r="M7" s="1" t="s">
        <v>21</v>
      </c>
      <c r="N7" s="1"/>
      <c r="O7" s="1"/>
      <c r="P7" s="6" t="s">
        <v>37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21.75" hidden="false" customHeight="true" outlineLevel="0" collapsed="false">
      <c r="A8" s="4" t="n">
        <v>43440</v>
      </c>
      <c r="B8" s="8" t="s">
        <v>48</v>
      </c>
      <c r="C8" s="1" t="s">
        <v>15</v>
      </c>
      <c r="D8" s="1" t="s">
        <v>43</v>
      </c>
      <c r="E8" s="1" t="s">
        <v>44</v>
      </c>
      <c r="F8" s="1" t="s">
        <v>49</v>
      </c>
      <c r="G8" s="1" t="n">
        <f aca="false">+593989939376</f>
        <v>593989939376</v>
      </c>
      <c r="H8" s="1" t="s">
        <v>50</v>
      </c>
      <c r="I8" s="1" t="s">
        <v>24</v>
      </c>
      <c r="J8" s="1"/>
      <c r="K8" s="1" t="s">
        <v>51</v>
      </c>
      <c r="L8" s="1" t="s">
        <v>21</v>
      </c>
      <c r="M8" s="1" t="s">
        <v>52</v>
      </c>
      <c r="N8" s="1" t="s">
        <v>53</v>
      </c>
      <c r="O8" s="1"/>
      <c r="P8" s="6" t="s">
        <v>31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.75" hidden="false" customHeight="true" outlineLevel="0" collapsed="false">
      <c r="A9" s="4" t="n">
        <v>43440</v>
      </c>
      <c r="B9" s="8" t="s">
        <v>48</v>
      </c>
      <c r="C9" s="1" t="s">
        <v>15</v>
      </c>
      <c r="D9" s="1" t="s">
        <v>43</v>
      </c>
      <c r="E9" s="1" t="s">
        <v>44</v>
      </c>
      <c r="F9" s="1" t="s">
        <v>54</v>
      </c>
      <c r="G9" s="1" t="n">
        <f aca="false">+593959953032</f>
        <v>593959953032</v>
      </c>
      <c r="H9" s="1" t="s">
        <v>55</v>
      </c>
      <c r="I9" s="1" t="s">
        <v>56</v>
      </c>
      <c r="J9" s="1"/>
      <c r="K9" s="1" t="s">
        <v>21</v>
      </c>
      <c r="L9" s="1" t="s">
        <v>57</v>
      </c>
      <c r="M9" s="1" t="s">
        <v>58</v>
      </c>
      <c r="N9" s="1" t="s">
        <v>21</v>
      </c>
      <c r="O9" s="1" t="s">
        <v>21</v>
      </c>
      <c r="P9" s="6" t="s">
        <v>21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21.75" hidden="false" customHeight="true" outlineLevel="0" collapsed="false">
      <c r="A10" s="4" t="n">
        <v>43440</v>
      </c>
      <c r="B10" s="8" t="s">
        <v>48</v>
      </c>
      <c r="C10" s="1" t="s">
        <v>15</v>
      </c>
      <c r="D10" s="1" t="s">
        <v>43</v>
      </c>
      <c r="E10" s="1" t="s">
        <v>44</v>
      </c>
      <c r="F10" s="1" t="s">
        <v>59</v>
      </c>
      <c r="G10" s="1" t="n">
        <f aca="false">+593997428192</f>
        <v>593997428192</v>
      </c>
      <c r="H10" s="1" t="s">
        <v>60</v>
      </c>
      <c r="I10" s="1" t="s">
        <v>61</v>
      </c>
      <c r="J10" s="1"/>
      <c r="K10" s="1" t="s">
        <v>62</v>
      </c>
      <c r="L10" s="1" t="s">
        <v>21</v>
      </c>
      <c r="M10" s="1" t="s">
        <v>21</v>
      </c>
      <c r="N10" s="1" t="s">
        <v>21</v>
      </c>
      <c r="O10" s="1"/>
      <c r="P10" s="6" t="s">
        <v>21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1.75" hidden="false" customHeight="true" outlineLevel="0" collapsed="false">
      <c r="A11" s="4" t="n">
        <v>43440</v>
      </c>
      <c r="B11" s="8" t="s">
        <v>48</v>
      </c>
      <c r="C11" s="1" t="s">
        <v>15</v>
      </c>
      <c r="D11" s="1" t="s">
        <v>43</v>
      </c>
      <c r="E11" s="1" t="s">
        <v>44</v>
      </c>
      <c r="F11" s="1" t="s">
        <v>63</v>
      </c>
      <c r="G11" s="1" t="n">
        <f aca="false">+593987980208</f>
        <v>593987980208</v>
      </c>
      <c r="H11" s="1" t="s">
        <v>64</v>
      </c>
      <c r="I11" s="1" t="s">
        <v>24</v>
      </c>
      <c r="J11" s="1"/>
      <c r="K11" s="1" t="s">
        <v>21</v>
      </c>
      <c r="L11" s="1" t="s">
        <v>21</v>
      </c>
      <c r="M11" s="1" t="s">
        <v>65</v>
      </c>
      <c r="N11" s="1"/>
      <c r="O11" s="1"/>
      <c r="P11" s="6" t="s">
        <v>21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21.75" hidden="false" customHeight="true" outlineLevel="0" collapsed="false">
      <c r="A12" s="4" t="n">
        <v>43440</v>
      </c>
      <c r="B12" s="8" t="s">
        <v>48</v>
      </c>
      <c r="C12" s="1" t="s">
        <v>15</v>
      </c>
      <c r="D12" s="1" t="s">
        <v>43</v>
      </c>
      <c r="E12" s="1" t="s">
        <v>44</v>
      </c>
      <c r="F12" s="1" t="s">
        <v>66</v>
      </c>
      <c r="G12" s="1" t="n">
        <f aca="false">+593987890186</f>
        <v>593987890186</v>
      </c>
      <c r="H12" s="1" t="s">
        <v>67</v>
      </c>
      <c r="I12" s="1" t="s">
        <v>68</v>
      </c>
      <c r="J12" s="1"/>
      <c r="K12" s="1" t="s">
        <v>69</v>
      </c>
      <c r="L12" s="1"/>
      <c r="M12" s="1"/>
      <c r="N12" s="1"/>
      <c r="O12" s="1"/>
      <c r="P12" s="6" t="s">
        <v>31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21.75" hidden="false" customHeight="true" outlineLevel="0" collapsed="false">
      <c r="A13" s="4" t="n">
        <v>43440</v>
      </c>
      <c r="B13" s="8" t="s">
        <v>48</v>
      </c>
      <c r="C13" s="1" t="s">
        <v>15</v>
      </c>
      <c r="D13" s="1" t="s">
        <v>43</v>
      </c>
      <c r="E13" s="1" t="s">
        <v>44</v>
      </c>
      <c r="F13" s="1" t="s">
        <v>70</v>
      </c>
      <c r="G13" s="1" t="n">
        <f aca="false">+593939520466</f>
        <v>593939520466</v>
      </c>
      <c r="H13" s="1" t="s">
        <v>71</v>
      </c>
      <c r="I13" s="1" t="s">
        <v>68</v>
      </c>
      <c r="J13" s="1"/>
      <c r="K13" s="1" t="s">
        <v>21</v>
      </c>
      <c r="L13" s="1" t="s">
        <v>72</v>
      </c>
      <c r="M13" s="1" t="s">
        <v>21</v>
      </c>
      <c r="N13" s="1" t="s">
        <v>73</v>
      </c>
      <c r="O13" s="1"/>
      <c r="P13" s="6" t="s">
        <v>31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21.75" hidden="false" customHeight="true" outlineLevel="0" collapsed="false">
      <c r="A14" s="4" t="n">
        <v>43440</v>
      </c>
      <c r="B14" s="8" t="s">
        <v>48</v>
      </c>
      <c r="C14" s="1" t="s">
        <v>15</v>
      </c>
      <c r="D14" s="1" t="s">
        <v>43</v>
      </c>
      <c r="E14" s="1" t="s">
        <v>44</v>
      </c>
      <c r="F14" s="1" t="s">
        <v>74</v>
      </c>
      <c r="G14" s="1" t="n">
        <f aca="false">+593993190757</f>
        <v>593993190757</v>
      </c>
      <c r="H14" s="1" t="s">
        <v>75</v>
      </c>
      <c r="I14" s="1" t="s">
        <v>68</v>
      </c>
      <c r="J14" s="1"/>
      <c r="K14" s="1" t="s">
        <v>76</v>
      </c>
      <c r="L14" s="1"/>
      <c r="M14" s="1"/>
      <c r="N14" s="1"/>
      <c r="O14" s="1"/>
      <c r="P14" s="6" t="s">
        <v>31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21.75" hidden="false" customHeight="true" outlineLevel="0" collapsed="false">
      <c r="A15" s="4" t="n">
        <v>43440</v>
      </c>
      <c r="B15" s="8" t="s">
        <v>48</v>
      </c>
      <c r="C15" s="1" t="s">
        <v>26</v>
      </c>
      <c r="D15" s="1" t="s">
        <v>43</v>
      </c>
      <c r="E15" s="1" t="s">
        <v>44</v>
      </c>
      <c r="F15" s="1" t="s">
        <v>77</v>
      </c>
      <c r="G15" s="1" t="n">
        <f aca="false">+593985230412</f>
        <v>593985230412</v>
      </c>
      <c r="H15" s="1" t="s">
        <v>78</v>
      </c>
      <c r="I15" s="1" t="s">
        <v>79</v>
      </c>
      <c r="J15" s="1"/>
      <c r="K15" s="1" t="s">
        <v>80</v>
      </c>
      <c r="L15" s="1" t="s">
        <v>21</v>
      </c>
      <c r="M15" s="1"/>
      <c r="N15" s="1"/>
      <c r="O15" s="1"/>
      <c r="P15" s="6" t="s">
        <v>21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21.75" hidden="false" customHeight="true" outlineLevel="0" collapsed="false">
      <c r="A16" s="4" t="n">
        <v>43440</v>
      </c>
      <c r="B16" s="8" t="s">
        <v>81</v>
      </c>
      <c r="C16" s="1" t="s">
        <v>15</v>
      </c>
      <c r="D16" s="1" t="s">
        <v>43</v>
      </c>
      <c r="E16" s="1" t="s">
        <v>44</v>
      </c>
      <c r="F16" s="1" t="s">
        <v>82</v>
      </c>
      <c r="G16" s="1" t="n">
        <f aca="false">+5930959026707</f>
        <v>5930959026707</v>
      </c>
      <c r="H16" s="1" t="s">
        <v>83</v>
      </c>
      <c r="I16" s="1" t="s">
        <v>84</v>
      </c>
      <c r="J16" s="1"/>
      <c r="K16" s="1" t="s">
        <v>21</v>
      </c>
      <c r="L16" s="1" t="s">
        <v>21</v>
      </c>
      <c r="M16" s="1" t="s">
        <v>85</v>
      </c>
      <c r="N16" s="1"/>
      <c r="O16" s="1"/>
      <c r="P16" s="6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1.75" hidden="false" customHeight="true" outlineLevel="0" collapsed="false">
      <c r="A17" s="4" t="n">
        <v>43440</v>
      </c>
      <c r="B17" s="1" t="s">
        <v>86</v>
      </c>
      <c r="C17" s="1" t="s">
        <v>26</v>
      </c>
      <c r="D17" s="1" t="s">
        <v>16</v>
      </c>
      <c r="E17" s="1" t="s">
        <v>17</v>
      </c>
      <c r="F17" s="1" t="s">
        <v>87</v>
      </c>
      <c r="G17" s="1" t="n">
        <f aca="false">+5930979527683</f>
        <v>5930979527683</v>
      </c>
      <c r="H17" s="1" t="s">
        <v>88</v>
      </c>
      <c r="I17" s="5"/>
      <c r="J17" s="5"/>
      <c r="K17" s="1" t="s">
        <v>89</v>
      </c>
      <c r="L17" s="1" t="s">
        <v>21</v>
      </c>
      <c r="M17" s="1" t="s">
        <v>90</v>
      </c>
      <c r="N17" s="1"/>
      <c r="O17" s="1"/>
      <c r="P17" s="6" t="s">
        <v>37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1.75" hidden="false" customHeight="true" outlineLevel="0" collapsed="false">
      <c r="A18" s="4" t="n">
        <v>43440</v>
      </c>
      <c r="B18" s="1" t="s">
        <v>86</v>
      </c>
      <c r="C18" s="1" t="s">
        <v>26</v>
      </c>
      <c r="D18" s="1" t="s">
        <v>16</v>
      </c>
      <c r="E18" s="1" t="s">
        <v>17</v>
      </c>
      <c r="F18" s="1" t="s">
        <v>91</v>
      </c>
      <c r="G18" s="1" t="n">
        <f aca="false">+593980055840</f>
        <v>593980055840</v>
      </c>
      <c r="H18" s="1" t="s">
        <v>92</v>
      </c>
      <c r="I18" s="5"/>
      <c r="J18" s="5"/>
      <c r="K18" s="1" t="s">
        <v>21</v>
      </c>
      <c r="L18" s="1" t="s">
        <v>21</v>
      </c>
      <c r="M18" s="1" t="s">
        <v>21</v>
      </c>
      <c r="N18" s="1"/>
      <c r="O18" s="1"/>
      <c r="P18" s="6" t="s">
        <v>21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21.75" hidden="false" customHeight="true" outlineLevel="0" collapsed="false">
      <c r="A19" s="4" t="n">
        <v>43441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93</v>
      </c>
      <c r="G19" s="1" t="n">
        <f aca="false">+593981764764</f>
        <v>593981764764</v>
      </c>
      <c r="H19" s="1" t="s">
        <v>94</v>
      </c>
      <c r="I19" s="5"/>
      <c r="J19" s="5"/>
      <c r="K19" s="1" t="s">
        <v>95</v>
      </c>
      <c r="L19" s="1" t="s">
        <v>21</v>
      </c>
      <c r="M19" s="1" t="s">
        <v>96</v>
      </c>
      <c r="N19" s="1"/>
      <c r="O19" s="1"/>
      <c r="P19" s="6" t="s">
        <v>37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1.75" hidden="false" customHeight="true" outlineLevel="0" collapsed="false">
      <c r="A20" s="4" t="n">
        <v>43441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97</v>
      </c>
      <c r="G20" s="1" t="n">
        <f aca="false">+593967701652</f>
        <v>593967701652</v>
      </c>
      <c r="H20" s="1" t="s">
        <v>98</v>
      </c>
      <c r="I20" s="5"/>
      <c r="J20" s="5"/>
      <c r="K20" s="1" t="s">
        <v>99</v>
      </c>
      <c r="L20" s="1" t="s">
        <v>21</v>
      </c>
      <c r="M20" s="1" t="s">
        <v>21</v>
      </c>
      <c r="N20" s="1"/>
      <c r="O20" s="1"/>
      <c r="P20" s="6" t="s">
        <v>21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1.75" hidden="false" customHeight="true" outlineLevel="0" collapsed="false">
      <c r="A21" s="4" t="n">
        <v>43441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100</v>
      </c>
      <c r="G21" s="1" t="n">
        <f aca="false">+593989681957</f>
        <v>593989681957</v>
      </c>
      <c r="H21" s="1" t="s">
        <v>101</v>
      </c>
      <c r="I21" s="5"/>
      <c r="J21" s="5"/>
      <c r="K21" s="1" t="s">
        <v>21</v>
      </c>
      <c r="L21" s="1" t="s">
        <v>102</v>
      </c>
      <c r="M21" s="1" t="s">
        <v>21</v>
      </c>
      <c r="N21" s="1"/>
      <c r="O21" s="1"/>
      <c r="P21" s="6" t="s">
        <v>21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21.75" hidden="false" customHeight="true" outlineLevel="0" collapsed="false">
      <c r="A22" s="4" t="n">
        <v>43441</v>
      </c>
      <c r="B22" s="1" t="s">
        <v>14</v>
      </c>
      <c r="C22" s="1" t="s">
        <v>15</v>
      </c>
      <c r="D22" s="1" t="s">
        <v>16</v>
      </c>
      <c r="E22" s="1" t="s">
        <v>17</v>
      </c>
      <c r="F22" s="1" t="s">
        <v>103</v>
      </c>
      <c r="G22" s="1" t="n">
        <f aca="false">+593998352095</f>
        <v>593998352095</v>
      </c>
      <c r="H22" s="1" t="s">
        <v>104</v>
      </c>
      <c r="I22" s="5"/>
      <c r="J22" s="5"/>
      <c r="K22" s="1" t="s">
        <v>21</v>
      </c>
      <c r="L22" s="1" t="s">
        <v>21</v>
      </c>
      <c r="M22" s="1" t="s">
        <v>21</v>
      </c>
      <c r="N22" s="1"/>
      <c r="O22" s="1"/>
      <c r="P22" s="6" t="s">
        <v>21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1.75" hidden="false" customHeight="true" outlineLevel="0" collapsed="false">
      <c r="A23" s="4" t="n">
        <v>43441</v>
      </c>
      <c r="B23" s="8" t="s">
        <v>42</v>
      </c>
      <c r="C23" s="1" t="s">
        <v>26</v>
      </c>
      <c r="D23" s="1" t="s">
        <v>43</v>
      </c>
      <c r="E23" s="1" t="s">
        <v>44</v>
      </c>
      <c r="F23" s="1" t="s">
        <v>105</v>
      </c>
      <c r="G23" s="1" t="n">
        <f aca="false">+593958936236</f>
        <v>593958936236</v>
      </c>
      <c r="H23" s="1" t="s">
        <v>106</v>
      </c>
      <c r="I23" s="1" t="s">
        <v>68</v>
      </c>
      <c r="J23" s="1"/>
      <c r="K23" s="1" t="s">
        <v>21</v>
      </c>
      <c r="L23" s="1" t="s">
        <v>107</v>
      </c>
      <c r="M23" s="1" t="s">
        <v>21</v>
      </c>
      <c r="N23" s="1"/>
      <c r="O23" s="1"/>
      <c r="P23" s="6" t="s">
        <v>21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1.75" hidden="false" customHeight="true" outlineLevel="0" collapsed="false">
      <c r="A24" s="4" t="n">
        <v>43441</v>
      </c>
      <c r="B24" s="5" t="s">
        <v>108</v>
      </c>
      <c r="C24" s="1" t="s">
        <v>15</v>
      </c>
      <c r="D24" s="1" t="s">
        <v>16</v>
      </c>
      <c r="E24" s="5" t="s">
        <v>109</v>
      </c>
      <c r="F24" s="9" t="s">
        <v>110</v>
      </c>
      <c r="G24" s="5" t="n">
        <v>982797902</v>
      </c>
      <c r="H24" s="5" t="s">
        <v>111</v>
      </c>
      <c r="I24" s="5"/>
      <c r="J24" s="1"/>
      <c r="K24" s="1" t="s">
        <v>21</v>
      </c>
      <c r="L24" s="1" t="s">
        <v>21</v>
      </c>
      <c r="M24" s="1" t="s">
        <v>112</v>
      </c>
      <c r="N24" s="1"/>
      <c r="O24" s="1"/>
      <c r="P24" s="6" t="s">
        <v>37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1.75" hidden="false" customHeight="true" outlineLevel="0" collapsed="false">
      <c r="A25" s="4" t="n">
        <v>43441</v>
      </c>
      <c r="B25" s="5" t="s">
        <v>48</v>
      </c>
      <c r="C25" s="1" t="s">
        <v>15</v>
      </c>
      <c r="D25" s="1" t="s">
        <v>43</v>
      </c>
      <c r="E25" s="1" t="s">
        <v>44</v>
      </c>
      <c r="F25" s="1" t="s">
        <v>113</v>
      </c>
      <c r="G25" s="1" t="n">
        <f aca="false">+593992124999</f>
        <v>593992124999</v>
      </c>
      <c r="H25" s="1" t="s">
        <v>114</v>
      </c>
      <c r="I25" s="1" t="s">
        <v>68</v>
      </c>
      <c r="J25" s="1"/>
      <c r="K25" s="1" t="s">
        <v>21</v>
      </c>
      <c r="L25" s="1" t="s">
        <v>21</v>
      </c>
      <c r="M25" s="1" t="s">
        <v>21</v>
      </c>
      <c r="N25" s="1"/>
      <c r="O25" s="1"/>
      <c r="P25" s="6" t="s">
        <v>21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1.75" hidden="false" customHeight="true" outlineLevel="0" collapsed="false">
      <c r="A26" s="4" t="n">
        <v>43441</v>
      </c>
      <c r="B26" s="5" t="s">
        <v>48</v>
      </c>
      <c r="C26" s="1" t="s">
        <v>15</v>
      </c>
      <c r="D26" s="1" t="s">
        <v>43</v>
      </c>
      <c r="E26" s="1" t="s">
        <v>44</v>
      </c>
      <c r="F26" s="1" t="s">
        <v>115</v>
      </c>
      <c r="G26" s="1" t="n">
        <f aca="false">+593994421446</f>
        <v>593994421446</v>
      </c>
      <c r="H26" s="1" t="s">
        <v>116</v>
      </c>
      <c r="I26" s="1" t="s">
        <v>117</v>
      </c>
      <c r="J26" s="1"/>
      <c r="K26" s="1" t="s">
        <v>21</v>
      </c>
      <c r="L26" s="1" t="s">
        <v>21</v>
      </c>
      <c r="M26" s="1" t="s">
        <v>21</v>
      </c>
      <c r="N26" s="1"/>
      <c r="O26" s="1"/>
      <c r="P26" s="6" t="s">
        <v>21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1.75" hidden="false" customHeight="true" outlineLevel="0" collapsed="false">
      <c r="A27" s="4" t="n">
        <v>43441</v>
      </c>
      <c r="B27" s="5" t="s">
        <v>48</v>
      </c>
      <c r="C27" s="1" t="s">
        <v>15</v>
      </c>
      <c r="D27" s="1" t="s">
        <v>43</v>
      </c>
      <c r="E27" s="1" t="s">
        <v>44</v>
      </c>
      <c r="F27" s="9" t="s">
        <v>118</v>
      </c>
      <c r="G27" s="5" t="n">
        <v>979046350</v>
      </c>
      <c r="H27" s="5" t="s">
        <v>119</v>
      </c>
      <c r="I27" s="5"/>
      <c r="J27" s="1"/>
      <c r="K27" s="1" t="s">
        <v>21</v>
      </c>
      <c r="L27" s="1" t="s">
        <v>95</v>
      </c>
      <c r="M27" s="1" t="s">
        <v>21</v>
      </c>
      <c r="N27" s="1"/>
      <c r="O27" s="1"/>
      <c r="P27" s="6" t="s">
        <v>21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1.75" hidden="false" customHeight="true" outlineLevel="0" collapsed="false">
      <c r="A28" s="4" t="n">
        <v>43441</v>
      </c>
      <c r="B28" s="5" t="s">
        <v>48</v>
      </c>
      <c r="C28" s="1" t="s">
        <v>15</v>
      </c>
      <c r="D28" s="1" t="s">
        <v>43</v>
      </c>
      <c r="E28" s="5" t="s">
        <v>44</v>
      </c>
      <c r="F28" s="9" t="s">
        <v>120</v>
      </c>
      <c r="G28" s="5" t="n">
        <v>997043313</v>
      </c>
      <c r="H28" s="5" t="s">
        <v>121</v>
      </c>
      <c r="I28" s="5"/>
      <c r="J28" s="1"/>
      <c r="K28" s="1" t="s">
        <v>35</v>
      </c>
      <c r="L28" s="1" t="s">
        <v>21</v>
      </c>
      <c r="M28" s="1" t="s">
        <v>21</v>
      </c>
      <c r="N28" s="1"/>
      <c r="O28" s="1"/>
      <c r="P28" s="6" t="s">
        <v>21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1.75" hidden="false" customHeight="true" outlineLevel="0" collapsed="false">
      <c r="A29" s="4" t="n">
        <v>43441</v>
      </c>
      <c r="B29" s="5" t="s">
        <v>48</v>
      </c>
      <c r="C29" s="1" t="s">
        <v>15</v>
      </c>
      <c r="D29" s="5" t="s">
        <v>43</v>
      </c>
      <c r="E29" s="5" t="s">
        <v>44</v>
      </c>
      <c r="F29" s="9" t="s">
        <v>122</v>
      </c>
      <c r="G29" s="5" t="n">
        <v>987262770</v>
      </c>
      <c r="H29" s="5" t="s">
        <v>123</v>
      </c>
      <c r="I29" s="5"/>
      <c r="J29" s="1"/>
      <c r="K29" s="1" t="s">
        <v>124</v>
      </c>
      <c r="L29" s="1" t="s">
        <v>21</v>
      </c>
      <c r="M29" s="1" t="s">
        <v>125</v>
      </c>
      <c r="N29" s="1"/>
      <c r="O29" s="1"/>
      <c r="P29" s="6" t="s">
        <v>126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1.75" hidden="false" customHeight="true" outlineLevel="0" collapsed="false">
      <c r="A30" s="4" t="n">
        <v>43441</v>
      </c>
      <c r="B30" s="5" t="s">
        <v>127</v>
      </c>
      <c r="C30" s="1" t="s">
        <v>15</v>
      </c>
      <c r="D30" s="1" t="s">
        <v>43</v>
      </c>
      <c r="E30" s="1" t="s">
        <v>44</v>
      </c>
      <c r="F30" s="1" t="s">
        <v>128</v>
      </c>
      <c r="G30" s="1" t="n">
        <f aca="false">+5930985323373</f>
        <v>5930985323373</v>
      </c>
      <c r="H30" s="1" t="s">
        <v>129</v>
      </c>
      <c r="I30" s="1" t="s">
        <v>130</v>
      </c>
      <c r="J30" s="1"/>
      <c r="K30" s="1" t="s">
        <v>131</v>
      </c>
      <c r="L30" s="1" t="s">
        <v>21</v>
      </c>
      <c r="M30" s="1" t="s">
        <v>132</v>
      </c>
      <c r="N30" s="1"/>
      <c r="O30" s="1"/>
      <c r="P30" s="6" t="s">
        <v>133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1.75" hidden="false" customHeight="true" outlineLevel="0" collapsed="false">
      <c r="A31" s="4" t="n">
        <v>43441</v>
      </c>
      <c r="B31" s="5" t="s">
        <v>127</v>
      </c>
      <c r="C31" s="1" t="s">
        <v>15</v>
      </c>
      <c r="D31" s="1" t="s">
        <v>43</v>
      </c>
      <c r="E31" s="1" t="s">
        <v>44</v>
      </c>
      <c r="F31" s="1" t="s">
        <v>134</v>
      </c>
      <c r="G31" s="1" t="n">
        <f aca="false">+593996001440</f>
        <v>593996001440</v>
      </c>
      <c r="H31" s="1" t="s">
        <v>135</v>
      </c>
      <c r="I31" s="1" t="s">
        <v>24</v>
      </c>
      <c r="J31" s="1"/>
      <c r="K31" s="1" t="s">
        <v>21</v>
      </c>
      <c r="L31" s="1" t="s">
        <v>136</v>
      </c>
      <c r="M31" s="1" t="s">
        <v>137</v>
      </c>
      <c r="N31" s="1"/>
      <c r="O31" s="1"/>
      <c r="P31" s="6" t="s">
        <v>126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21.75" hidden="false" customHeight="true" outlineLevel="0" collapsed="false">
      <c r="A32" s="4" t="n">
        <v>43441</v>
      </c>
      <c r="B32" s="5" t="s">
        <v>86</v>
      </c>
      <c r="C32" s="1" t="s">
        <v>15</v>
      </c>
      <c r="D32" s="1" t="s">
        <v>16</v>
      </c>
      <c r="E32" s="1" t="s">
        <v>17</v>
      </c>
      <c r="F32" s="1" t="s">
        <v>138</v>
      </c>
      <c r="G32" s="1" t="n">
        <f aca="false">+593999292411</f>
        <v>593999292411</v>
      </c>
      <c r="H32" s="1" t="s">
        <v>139</v>
      </c>
      <c r="I32" s="5"/>
      <c r="J32" s="5"/>
      <c r="K32" s="1" t="s">
        <v>140</v>
      </c>
      <c r="L32" s="1"/>
      <c r="M32" s="1"/>
      <c r="N32" s="1"/>
      <c r="O32" s="1"/>
      <c r="P32" s="6" t="s">
        <v>31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21.75" hidden="false" customHeight="true" outlineLevel="0" collapsed="false">
      <c r="A33" s="4" t="n">
        <v>43441</v>
      </c>
      <c r="B33" s="5" t="s">
        <v>86</v>
      </c>
      <c r="C33" s="1" t="s">
        <v>26</v>
      </c>
      <c r="D33" s="1" t="s">
        <v>16</v>
      </c>
      <c r="E33" s="1" t="s">
        <v>17</v>
      </c>
      <c r="F33" s="1" t="s">
        <v>141</v>
      </c>
      <c r="G33" s="1" t="n">
        <f aca="false">+593987093298</f>
        <v>593987093298</v>
      </c>
      <c r="H33" s="1" t="s">
        <v>142</v>
      </c>
      <c r="I33" s="1"/>
      <c r="J33" s="1"/>
      <c r="K33" s="1" t="s">
        <v>21</v>
      </c>
      <c r="L33" s="1" t="s">
        <v>21</v>
      </c>
      <c r="M33" s="1" t="s">
        <v>21</v>
      </c>
      <c r="N33" s="1"/>
      <c r="O33" s="1"/>
      <c r="P33" s="6" t="s"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21.75" hidden="false" customHeight="true" outlineLevel="0" collapsed="false">
      <c r="A34" s="4" t="n">
        <v>43442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143</v>
      </c>
      <c r="G34" s="1" t="n">
        <f aca="false">+593989193010</f>
        <v>593989193010</v>
      </c>
      <c r="H34" s="1" t="s">
        <v>144</v>
      </c>
      <c r="I34" s="1"/>
      <c r="J34" s="1"/>
      <c r="K34" s="1" t="s">
        <v>21</v>
      </c>
      <c r="L34" s="1" t="s">
        <v>145</v>
      </c>
      <c r="M34" s="1" t="s">
        <v>21</v>
      </c>
      <c r="N34" s="1"/>
      <c r="O34" s="1"/>
      <c r="P34" s="6" t="s">
        <v>21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1.75" hidden="false" customHeight="true" outlineLevel="0" collapsed="false">
      <c r="A35" s="4" t="n">
        <v>43442</v>
      </c>
      <c r="B35" s="1" t="s">
        <v>14</v>
      </c>
      <c r="C35" s="1" t="s">
        <v>15</v>
      </c>
      <c r="D35" s="1" t="s">
        <v>16</v>
      </c>
      <c r="E35" s="1" t="s">
        <v>17</v>
      </c>
      <c r="F35" s="1" t="s">
        <v>146</v>
      </c>
      <c r="G35" s="1" t="n">
        <f aca="false">+593993598422</f>
        <v>593993598422</v>
      </c>
      <c r="H35" s="1" t="s">
        <v>147</v>
      </c>
      <c r="I35" s="1"/>
      <c r="J35" s="1"/>
      <c r="K35" s="1" t="s">
        <v>148</v>
      </c>
      <c r="L35" s="1" t="s">
        <v>21</v>
      </c>
      <c r="M35" s="1" t="s">
        <v>21</v>
      </c>
      <c r="N35" s="1" t="s">
        <v>21</v>
      </c>
      <c r="O35" s="1"/>
      <c r="P35" s="6" t="s">
        <v>21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21.75" hidden="false" customHeight="true" outlineLevel="0" collapsed="false">
      <c r="A36" s="4" t="n">
        <v>43442</v>
      </c>
      <c r="B36" s="1" t="s">
        <v>14</v>
      </c>
      <c r="C36" s="1" t="s">
        <v>15</v>
      </c>
      <c r="D36" s="1" t="s">
        <v>16</v>
      </c>
      <c r="E36" s="1" t="s">
        <v>17</v>
      </c>
      <c r="F36" s="1" t="s">
        <v>149</v>
      </c>
      <c r="G36" s="1" t="n">
        <f aca="false">+5930939622239</f>
        <v>5930939622239</v>
      </c>
      <c r="H36" s="1" t="s">
        <v>150</v>
      </c>
      <c r="I36" s="1"/>
      <c r="J36" s="1"/>
      <c r="K36" s="1" t="s">
        <v>21</v>
      </c>
      <c r="L36" s="1" t="s">
        <v>21</v>
      </c>
      <c r="M36" s="1" t="s">
        <v>21</v>
      </c>
      <c r="N36" s="1"/>
      <c r="O36" s="1"/>
      <c r="P36" s="6" t="s">
        <v>21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21.75" hidden="false" customHeight="true" outlineLevel="0" collapsed="false">
      <c r="A37" s="4" t="n">
        <v>43442</v>
      </c>
      <c r="B37" s="1" t="s">
        <v>14</v>
      </c>
      <c r="C37" s="1" t="s">
        <v>15</v>
      </c>
      <c r="D37" s="1" t="s">
        <v>16</v>
      </c>
      <c r="E37" s="1" t="s">
        <v>17</v>
      </c>
      <c r="F37" s="1" t="s">
        <v>151</v>
      </c>
      <c r="G37" s="1" t="n">
        <f aca="false">+593979750266</f>
        <v>593979750266</v>
      </c>
      <c r="H37" s="1" t="s">
        <v>152</v>
      </c>
      <c r="I37" s="1" t="s">
        <v>24</v>
      </c>
      <c r="J37" s="1"/>
      <c r="K37" s="1" t="s">
        <v>153</v>
      </c>
      <c r="L37" s="1" t="s">
        <v>21</v>
      </c>
      <c r="M37" s="1" t="s">
        <v>21</v>
      </c>
      <c r="N37" s="1" t="s">
        <v>21</v>
      </c>
      <c r="O37" s="1"/>
      <c r="P37" s="6" t="s">
        <v>21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21.75" hidden="false" customHeight="true" outlineLevel="0" collapsed="false">
      <c r="A38" s="4" t="n">
        <v>43442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154</v>
      </c>
      <c r="G38" s="1" t="n">
        <f aca="false">+593987024370</f>
        <v>593987024370</v>
      </c>
      <c r="H38" s="1" t="s">
        <v>155</v>
      </c>
      <c r="I38" s="1" t="s">
        <v>24</v>
      </c>
      <c r="J38" s="1"/>
      <c r="K38" s="1" t="s">
        <v>156</v>
      </c>
      <c r="L38" s="1" t="s">
        <v>21</v>
      </c>
      <c r="M38" s="1" t="s">
        <v>21</v>
      </c>
      <c r="N38" s="1" t="s">
        <v>157</v>
      </c>
      <c r="O38" s="1"/>
      <c r="P38" s="6" t="s">
        <v>21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21.75" hidden="false" customHeight="true" outlineLevel="0" collapsed="false">
      <c r="A39" s="4" t="n">
        <v>43442</v>
      </c>
      <c r="B39" s="8" t="s">
        <v>42</v>
      </c>
      <c r="C39" s="1" t="s">
        <v>15</v>
      </c>
      <c r="D39" s="1" t="s">
        <v>43</v>
      </c>
      <c r="E39" s="1" t="s">
        <v>109</v>
      </c>
      <c r="F39" s="1" t="s">
        <v>158</v>
      </c>
      <c r="G39" s="1" t="n">
        <f aca="false">+593995912663</f>
        <v>593995912663</v>
      </c>
      <c r="H39" s="1" t="s">
        <v>159</v>
      </c>
      <c r="I39" s="1" t="s">
        <v>24</v>
      </c>
      <c r="J39" s="1"/>
      <c r="K39" s="1" t="s">
        <v>160</v>
      </c>
      <c r="L39" s="1" t="s">
        <v>132</v>
      </c>
      <c r="M39" s="1" t="s">
        <v>21</v>
      </c>
      <c r="N39" s="1" t="s">
        <v>21</v>
      </c>
      <c r="O39" s="1"/>
      <c r="P39" s="6" t="s">
        <v>21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21.75" hidden="false" customHeight="true" outlineLevel="0" collapsed="false">
      <c r="A40" s="4" t="n">
        <v>43442</v>
      </c>
      <c r="B40" s="1" t="s">
        <v>161</v>
      </c>
      <c r="C40" s="1" t="s">
        <v>15</v>
      </c>
      <c r="D40" s="1" t="s">
        <v>16</v>
      </c>
      <c r="E40" s="1" t="s">
        <v>17</v>
      </c>
      <c r="F40" s="1" t="s">
        <v>162</v>
      </c>
      <c r="G40" s="1" t="n">
        <f aca="false">+593997316778</f>
        <v>593997316778</v>
      </c>
      <c r="H40" s="1" t="s">
        <v>163</v>
      </c>
      <c r="I40" s="1"/>
      <c r="J40" s="1"/>
      <c r="K40" s="1" t="s">
        <v>21</v>
      </c>
      <c r="L40" s="1" t="s">
        <v>21</v>
      </c>
      <c r="M40" s="1" t="s">
        <v>164</v>
      </c>
      <c r="N40" s="1" t="s">
        <v>165</v>
      </c>
      <c r="O40" s="1"/>
      <c r="P40" s="6" t="s">
        <v>31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21.75" hidden="false" customHeight="true" outlineLevel="0" collapsed="false">
      <c r="A41" s="4" t="n">
        <v>43442</v>
      </c>
      <c r="B41" s="1" t="s">
        <v>166</v>
      </c>
      <c r="C41" s="1" t="s">
        <v>26</v>
      </c>
      <c r="D41" s="1" t="s">
        <v>16</v>
      </c>
      <c r="E41" s="1" t="s">
        <v>17</v>
      </c>
      <c r="F41" s="1" t="s">
        <v>167</v>
      </c>
      <c r="G41" s="1" t="n">
        <f aca="false">+5930987731475</f>
        <v>5930987731475</v>
      </c>
      <c r="H41" s="1" t="s">
        <v>168</v>
      </c>
      <c r="I41" s="1" t="s">
        <v>24</v>
      </c>
      <c r="J41" s="1"/>
      <c r="K41" s="1" t="s">
        <v>169</v>
      </c>
      <c r="L41" s="1" t="s">
        <v>21</v>
      </c>
      <c r="M41" s="1" t="s">
        <v>170</v>
      </c>
      <c r="N41" s="1"/>
      <c r="O41" s="1"/>
      <c r="P41" s="6" t="s">
        <v>31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21.75" hidden="false" customHeight="true" outlineLevel="0" collapsed="false">
      <c r="A42" s="4" t="n">
        <v>43442</v>
      </c>
      <c r="B42" s="1" t="s">
        <v>166</v>
      </c>
      <c r="C42" s="1" t="s">
        <v>15</v>
      </c>
      <c r="D42" s="1" t="s">
        <v>16</v>
      </c>
      <c r="E42" s="1" t="s">
        <v>17</v>
      </c>
      <c r="F42" s="1" t="s">
        <v>171</v>
      </c>
      <c r="G42" s="1" t="n">
        <f aca="false">+593994099850</f>
        <v>593994099850</v>
      </c>
      <c r="H42" s="1" t="s">
        <v>172</v>
      </c>
      <c r="I42" s="1" t="s">
        <v>24</v>
      </c>
      <c r="J42" s="1"/>
      <c r="K42" s="1" t="s">
        <v>21</v>
      </c>
      <c r="L42" s="1" t="s">
        <v>173</v>
      </c>
      <c r="M42" s="1" t="s">
        <v>21</v>
      </c>
      <c r="N42" s="1" t="s">
        <v>174</v>
      </c>
      <c r="O42" s="1"/>
      <c r="P42" s="6" t="s">
        <v>31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21.75" hidden="false" customHeight="true" outlineLevel="0" collapsed="false">
      <c r="A43" s="4" t="n">
        <v>43442</v>
      </c>
      <c r="B43" s="1" t="s">
        <v>48</v>
      </c>
      <c r="C43" s="1" t="s">
        <v>15</v>
      </c>
      <c r="D43" s="1" t="s">
        <v>43</v>
      </c>
      <c r="E43" s="1" t="s">
        <v>44</v>
      </c>
      <c r="F43" s="9" t="s">
        <v>175</v>
      </c>
      <c r="G43" s="5" t="n">
        <v>981083098</v>
      </c>
      <c r="H43" s="10" t="s">
        <v>176</v>
      </c>
      <c r="I43" s="10"/>
      <c r="J43" s="1"/>
      <c r="K43" s="1" t="s">
        <v>177</v>
      </c>
      <c r="L43" s="1" t="s">
        <v>21</v>
      </c>
      <c r="M43" s="1" t="s">
        <v>21</v>
      </c>
      <c r="N43" s="1" t="s">
        <v>21</v>
      </c>
      <c r="O43" s="1"/>
      <c r="P43" s="6" t="s">
        <v>21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21.75" hidden="false" customHeight="true" outlineLevel="0" collapsed="false">
      <c r="A44" s="4" t="n">
        <v>43442</v>
      </c>
      <c r="B44" s="1" t="s">
        <v>178</v>
      </c>
      <c r="C44" s="1" t="s">
        <v>15</v>
      </c>
      <c r="D44" s="1" t="s">
        <v>43</v>
      </c>
      <c r="E44" s="1" t="s">
        <v>44</v>
      </c>
      <c r="F44" s="1" t="s">
        <v>179</v>
      </c>
      <c r="G44" s="1" t="n">
        <f aca="false">+593995429987</f>
        <v>593995429987</v>
      </c>
      <c r="H44" s="1" t="s">
        <v>180</v>
      </c>
      <c r="I44" s="1" t="s">
        <v>181</v>
      </c>
      <c r="J44" s="1"/>
      <c r="K44" s="1" t="s">
        <v>182</v>
      </c>
      <c r="L44" s="1" t="s">
        <v>21</v>
      </c>
      <c r="M44" s="1" t="s">
        <v>21</v>
      </c>
      <c r="N44" s="1" t="s">
        <v>21</v>
      </c>
      <c r="O44" s="1"/>
      <c r="P44" s="6" t="s">
        <v>21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21.75" hidden="false" customHeight="true" outlineLevel="0" collapsed="false">
      <c r="A45" s="4" t="n">
        <v>43442</v>
      </c>
      <c r="B45" s="1" t="s">
        <v>86</v>
      </c>
      <c r="C45" s="1" t="s">
        <v>15</v>
      </c>
      <c r="D45" s="1" t="s">
        <v>16</v>
      </c>
      <c r="E45" s="1" t="s">
        <v>17</v>
      </c>
      <c r="F45" s="1" t="s">
        <v>183</v>
      </c>
      <c r="G45" s="1" t="n">
        <f aca="false">+593985334377</f>
        <v>593985334377</v>
      </c>
      <c r="H45" s="1" t="s">
        <v>184</v>
      </c>
      <c r="I45" s="1"/>
      <c r="J45" s="1"/>
      <c r="K45" s="1" t="s">
        <v>185</v>
      </c>
      <c r="L45" s="1" t="s">
        <v>21</v>
      </c>
      <c r="M45" s="1" t="s">
        <v>21</v>
      </c>
      <c r="N45" s="1" t="s">
        <v>21</v>
      </c>
      <c r="O45" s="1"/>
      <c r="P45" s="6" t="s">
        <v>21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21.75" hidden="false" customHeight="true" outlineLevel="0" collapsed="false">
      <c r="A46" s="4" t="n">
        <v>43444</v>
      </c>
      <c r="B46" s="1" t="s">
        <v>14</v>
      </c>
      <c r="C46" s="1" t="s">
        <v>15</v>
      </c>
      <c r="D46" s="5" t="s">
        <v>16</v>
      </c>
      <c r="E46" s="1" t="s">
        <v>17</v>
      </c>
      <c r="F46" s="1" t="s">
        <v>186</v>
      </c>
      <c r="G46" s="1" t="n">
        <f aca="false">+593992491760</f>
        <v>593992491760</v>
      </c>
      <c r="H46" s="1" t="s">
        <v>187</v>
      </c>
      <c r="I46" s="1" t="s">
        <v>24</v>
      </c>
      <c r="J46" s="1"/>
      <c r="K46" s="1" t="s">
        <v>21</v>
      </c>
      <c r="L46" s="1" t="s">
        <v>21</v>
      </c>
      <c r="M46" s="1" t="s">
        <v>21</v>
      </c>
      <c r="N46" s="1"/>
      <c r="O46" s="1"/>
      <c r="P46" s="6" t="s">
        <v>21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21.75" hidden="false" customHeight="true" outlineLevel="0" collapsed="false">
      <c r="A47" s="4" t="n">
        <v>43444</v>
      </c>
      <c r="B47" s="1" t="s">
        <v>14</v>
      </c>
      <c r="C47" s="1" t="s">
        <v>15</v>
      </c>
      <c r="D47" s="5" t="s">
        <v>16</v>
      </c>
      <c r="E47" s="1" t="s">
        <v>17</v>
      </c>
      <c r="F47" s="1" t="s">
        <v>188</v>
      </c>
      <c r="G47" s="1" t="n">
        <f aca="false">+593995416579</f>
        <v>593995416579</v>
      </c>
      <c r="H47" s="1" t="s">
        <v>189</v>
      </c>
      <c r="I47" s="1" t="s">
        <v>24</v>
      </c>
      <c r="J47" s="1"/>
      <c r="K47" s="1" t="s">
        <v>21</v>
      </c>
      <c r="L47" s="1" t="s">
        <v>21</v>
      </c>
      <c r="M47" s="1" t="s">
        <v>21</v>
      </c>
      <c r="N47" s="1"/>
      <c r="O47" s="1"/>
      <c r="P47" s="6" t="s">
        <v>21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21.75" hidden="false" customHeight="true" outlineLevel="0" collapsed="false">
      <c r="A48" s="4" t="n">
        <v>43444</v>
      </c>
      <c r="B48" s="1" t="s">
        <v>14</v>
      </c>
      <c r="C48" s="1" t="s">
        <v>15</v>
      </c>
      <c r="D48" s="5" t="s">
        <v>16</v>
      </c>
      <c r="E48" s="1" t="s">
        <v>17</v>
      </c>
      <c r="F48" s="1" t="s">
        <v>190</v>
      </c>
      <c r="G48" s="1" t="n">
        <f aca="false">+593981525217</f>
        <v>593981525217</v>
      </c>
      <c r="H48" s="1" t="s">
        <v>191</v>
      </c>
      <c r="I48" s="1" t="s">
        <v>24</v>
      </c>
      <c r="J48" s="1"/>
      <c r="K48" s="1" t="s">
        <v>21</v>
      </c>
      <c r="L48" s="1" t="s">
        <v>192</v>
      </c>
      <c r="M48" s="1"/>
      <c r="N48" s="1"/>
      <c r="O48" s="1"/>
      <c r="P48" s="6" t="s">
        <v>21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21.75" hidden="false" customHeight="true" outlineLevel="0" collapsed="false">
      <c r="A49" s="4" t="n">
        <v>43444</v>
      </c>
      <c r="B49" s="1" t="s">
        <v>14</v>
      </c>
      <c r="C49" s="1" t="s">
        <v>15</v>
      </c>
      <c r="D49" s="5" t="s">
        <v>16</v>
      </c>
      <c r="E49" s="1" t="s">
        <v>17</v>
      </c>
      <c r="F49" s="1" t="s">
        <v>193</v>
      </c>
      <c r="G49" s="1" t="n">
        <f aca="false">+593969940447</f>
        <v>593969940447</v>
      </c>
      <c r="H49" s="1" t="s">
        <v>194</v>
      </c>
      <c r="I49" s="1" t="s">
        <v>68</v>
      </c>
      <c r="J49" s="1"/>
      <c r="K49" s="1" t="s">
        <v>195</v>
      </c>
      <c r="L49" s="1" t="s">
        <v>196</v>
      </c>
      <c r="M49" s="1" t="s">
        <v>197</v>
      </c>
      <c r="N49" s="1" t="s">
        <v>198</v>
      </c>
      <c r="O49" s="1"/>
      <c r="P49" s="6" t="s">
        <v>31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21.75" hidden="false" customHeight="true" outlineLevel="0" collapsed="false">
      <c r="A50" s="4" t="n">
        <v>43444</v>
      </c>
      <c r="B50" s="1" t="s">
        <v>14</v>
      </c>
      <c r="C50" s="1" t="s">
        <v>15</v>
      </c>
      <c r="D50" s="5" t="s">
        <v>16</v>
      </c>
      <c r="E50" s="1" t="s">
        <v>17</v>
      </c>
      <c r="F50" s="1" t="s">
        <v>199</v>
      </c>
      <c r="G50" s="1" t="n">
        <f aca="false">+593980770587</f>
        <v>593980770587</v>
      </c>
      <c r="H50" s="1" t="s">
        <v>200</v>
      </c>
      <c r="I50" s="1" t="s">
        <v>201</v>
      </c>
      <c r="J50" s="1"/>
      <c r="K50" s="1" t="s">
        <v>21</v>
      </c>
      <c r="L50" s="1" t="s">
        <v>21</v>
      </c>
      <c r="M50" s="1" t="s">
        <v>21</v>
      </c>
      <c r="N50" s="1"/>
      <c r="O50" s="1"/>
      <c r="P50" s="6" t="s">
        <v>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21.75" hidden="false" customHeight="true" outlineLevel="0" collapsed="false">
      <c r="A51" s="4" t="n">
        <v>43444</v>
      </c>
      <c r="B51" s="1" t="s">
        <v>14</v>
      </c>
      <c r="C51" s="1" t="s">
        <v>15</v>
      </c>
      <c r="D51" s="5" t="s">
        <v>16</v>
      </c>
      <c r="E51" s="1" t="s">
        <v>17</v>
      </c>
      <c r="F51" s="1" t="s">
        <v>202</v>
      </c>
      <c r="G51" s="1" t="n">
        <f aca="false">+5930990063649</f>
        <v>5930990063649</v>
      </c>
      <c r="H51" s="1" t="s">
        <v>203</v>
      </c>
      <c r="I51" s="1" t="s">
        <v>204</v>
      </c>
      <c r="J51" s="1"/>
      <c r="K51" s="1" t="s">
        <v>21</v>
      </c>
      <c r="L51" s="1" t="s">
        <v>21</v>
      </c>
      <c r="M51" s="1" t="s">
        <v>21</v>
      </c>
      <c r="N51" s="1"/>
      <c r="O51" s="1"/>
      <c r="P51" s="6" t="s">
        <v>37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21.75" hidden="false" customHeight="true" outlineLevel="0" collapsed="false">
      <c r="A52" s="4" t="n">
        <v>43444</v>
      </c>
      <c r="B52" s="1" t="s">
        <v>14</v>
      </c>
      <c r="C52" s="1" t="s">
        <v>15</v>
      </c>
      <c r="D52" s="5" t="s">
        <v>16</v>
      </c>
      <c r="E52" s="1" t="s">
        <v>17</v>
      </c>
      <c r="F52" s="1" t="s">
        <v>205</v>
      </c>
      <c r="G52" s="1" t="n">
        <f aca="false">+593996153142</f>
        <v>593996153142</v>
      </c>
      <c r="H52" s="1" t="s">
        <v>206</v>
      </c>
      <c r="I52" s="1" t="s">
        <v>207</v>
      </c>
      <c r="J52" s="1"/>
      <c r="K52" s="1" t="s">
        <v>21</v>
      </c>
      <c r="L52" s="1" t="s">
        <v>21</v>
      </c>
      <c r="M52" s="1" t="s">
        <v>208</v>
      </c>
      <c r="N52" s="1"/>
      <c r="O52" s="1"/>
      <c r="P52" s="6" t="s">
        <v>126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21.75" hidden="false" customHeight="true" outlineLevel="0" collapsed="false">
      <c r="A53" s="4" t="n">
        <v>43444</v>
      </c>
      <c r="B53" s="1" t="s">
        <v>14</v>
      </c>
      <c r="C53" s="1" t="s">
        <v>15</v>
      </c>
      <c r="D53" s="5" t="s">
        <v>16</v>
      </c>
      <c r="E53" s="1" t="s">
        <v>17</v>
      </c>
      <c r="F53" s="1" t="s">
        <v>209</v>
      </c>
      <c r="G53" s="1" t="n">
        <f aca="false">+593994568198</f>
        <v>593994568198</v>
      </c>
      <c r="H53" s="1" t="s">
        <v>210</v>
      </c>
      <c r="I53" s="1" t="s">
        <v>211</v>
      </c>
      <c r="J53" s="1"/>
      <c r="K53" s="1" t="s">
        <v>21</v>
      </c>
      <c r="L53" s="1" t="s">
        <v>212</v>
      </c>
      <c r="M53" s="1" t="s">
        <v>21</v>
      </c>
      <c r="N53" s="1" t="s">
        <v>213</v>
      </c>
      <c r="O53" s="1"/>
      <c r="P53" s="6" t="s">
        <v>31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21.75" hidden="false" customHeight="true" outlineLevel="0" collapsed="false">
      <c r="A54" s="4" t="n">
        <v>43444</v>
      </c>
      <c r="B54" s="1" t="s">
        <v>14</v>
      </c>
      <c r="C54" s="1" t="s">
        <v>15</v>
      </c>
      <c r="D54" s="5" t="s">
        <v>16</v>
      </c>
      <c r="E54" s="1" t="s">
        <v>17</v>
      </c>
      <c r="F54" s="1" t="s">
        <v>214</v>
      </c>
      <c r="G54" s="1" t="n">
        <f aca="false">+5930996440021</f>
        <v>5930996440021</v>
      </c>
      <c r="H54" s="1" t="s">
        <v>215</v>
      </c>
      <c r="I54" s="1" t="s">
        <v>216</v>
      </c>
      <c r="J54" s="1"/>
      <c r="K54" s="1" t="s">
        <v>21</v>
      </c>
      <c r="L54" s="1" t="s">
        <v>21</v>
      </c>
      <c r="M54" s="1" t="s">
        <v>21</v>
      </c>
      <c r="N54" s="1"/>
      <c r="O54" s="1"/>
      <c r="P54" s="6" t="s">
        <v>21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21.75" hidden="false" customHeight="true" outlineLevel="0" collapsed="false">
      <c r="A55" s="4" t="n">
        <v>43444</v>
      </c>
      <c r="B55" s="1" t="s">
        <v>14</v>
      </c>
      <c r="C55" s="1" t="s">
        <v>26</v>
      </c>
      <c r="D55" s="5" t="s">
        <v>16</v>
      </c>
      <c r="E55" s="1" t="s">
        <v>17</v>
      </c>
      <c r="F55" s="1" t="s">
        <v>217</v>
      </c>
      <c r="G55" s="1" t="n">
        <f aca="false">+5930969214848</f>
        <v>5930969214848</v>
      </c>
      <c r="H55" s="1" t="s">
        <v>218</v>
      </c>
      <c r="I55" s="1" t="s">
        <v>68</v>
      </c>
      <c r="J55" s="1"/>
      <c r="K55" s="1" t="s">
        <v>219</v>
      </c>
      <c r="L55" s="1" t="s">
        <v>21</v>
      </c>
      <c r="M55" s="1" t="s">
        <v>220</v>
      </c>
      <c r="N55" s="1"/>
      <c r="O55" s="1"/>
      <c r="P55" s="6" t="s">
        <v>31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21.75" hidden="false" customHeight="true" outlineLevel="0" collapsed="false">
      <c r="A56" s="4" t="n">
        <v>43444</v>
      </c>
      <c r="B56" s="1" t="s">
        <v>14</v>
      </c>
      <c r="C56" s="1" t="s">
        <v>26</v>
      </c>
      <c r="D56" s="5" t="s">
        <v>16</v>
      </c>
      <c r="E56" s="1" t="s">
        <v>17</v>
      </c>
      <c r="F56" s="1" t="s">
        <v>221</v>
      </c>
      <c r="G56" s="1" t="n">
        <f aca="false">+593985573539</f>
        <v>593985573539</v>
      </c>
      <c r="H56" s="1" t="s">
        <v>222</v>
      </c>
      <c r="I56" s="1" t="s">
        <v>223</v>
      </c>
      <c r="J56" s="1"/>
      <c r="K56" s="1" t="s">
        <v>224</v>
      </c>
      <c r="L56" s="1"/>
      <c r="M56" s="1"/>
      <c r="N56" s="1"/>
      <c r="O56" s="1"/>
      <c r="P56" s="6" t="s">
        <v>225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21.75" hidden="false" customHeight="true" outlineLevel="0" collapsed="false">
      <c r="A57" s="4" t="n">
        <v>43444</v>
      </c>
      <c r="B57" s="5" t="s">
        <v>14</v>
      </c>
      <c r="C57" s="1" t="s">
        <v>26</v>
      </c>
      <c r="D57" s="5" t="s">
        <v>16</v>
      </c>
      <c r="E57" s="5" t="s">
        <v>17</v>
      </c>
      <c r="F57" s="1" t="s">
        <v>226</v>
      </c>
      <c r="G57" s="1" t="n">
        <f aca="false">+593996743285</f>
        <v>593996743285</v>
      </c>
      <c r="H57" s="1" t="s">
        <v>227</v>
      </c>
      <c r="I57" s="5"/>
      <c r="J57" s="5"/>
      <c r="K57" s="1" t="s">
        <v>21</v>
      </c>
      <c r="L57" s="1" t="s">
        <v>228</v>
      </c>
      <c r="M57" s="1"/>
      <c r="N57" s="1"/>
      <c r="O57" s="1"/>
      <c r="P57" s="6" t="s">
        <v>31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21.75" hidden="false" customHeight="true" outlineLevel="0" collapsed="false">
      <c r="A58" s="4" t="n">
        <v>43444</v>
      </c>
      <c r="B58" s="5" t="s">
        <v>14</v>
      </c>
      <c r="C58" s="1" t="s">
        <v>26</v>
      </c>
      <c r="D58" s="5" t="s">
        <v>16</v>
      </c>
      <c r="E58" s="5" t="s">
        <v>17</v>
      </c>
      <c r="F58" s="1" t="s">
        <v>229</v>
      </c>
      <c r="G58" s="1" t="n">
        <f aca="false">+593968905510</f>
        <v>593968905510</v>
      </c>
      <c r="H58" s="1" t="s">
        <v>230</v>
      </c>
      <c r="I58" s="5"/>
      <c r="J58" s="5"/>
      <c r="K58" s="1" t="s">
        <v>21</v>
      </c>
      <c r="L58" s="1" t="s">
        <v>21</v>
      </c>
      <c r="M58" s="1" t="s">
        <v>21</v>
      </c>
      <c r="N58" s="1"/>
      <c r="O58" s="1"/>
      <c r="P58" s="6" t="s">
        <v>21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21.75" hidden="false" customHeight="true" outlineLevel="0" collapsed="false">
      <c r="A59" s="4" t="n">
        <v>43444</v>
      </c>
      <c r="B59" s="5" t="s">
        <v>14</v>
      </c>
      <c r="C59" s="1" t="s">
        <v>26</v>
      </c>
      <c r="D59" s="5" t="s">
        <v>16</v>
      </c>
      <c r="E59" s="5" t="s">
        <v>17</v>
      </c>
      <c r="F59" s="1" t="s">
        <v>231</v>
      </c>
      <c r="G59" s="1" t="n">
        <f aca="false">+593985455263</f>
        <v>593985455263</v>
      </c>
      <c r="H59" s="1" t="s">
        <v>232</v>
      </c>
      <c r="I59" s="5"/>
      <c r="J59" s="5"/>
      <c r="K59" s="1" t="s">
        <v>21</v>
      </c>
      <c r="L59" s="1" t="s">
        <v>21</v>
      </c>
      <c r="M59" s="1" t="s">
        <v>233</v>
      </c>
      <c r="N59" s="1"/>
      <c r="O59" s="1"/>
      <c r="P59" s="6" t="s">
        <v>21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21.75" hidden="false" customHeight="true" outlineLevel="0" collapsed="false">
      <c r="A60" s="4" t="n">
        <v>43444</v>
      </c>
      <c r="B60" s="5" t="s">
        <v>14</v>
      </c>
      <c r="C60" s="1" t="s">
        <v>26</v>
      </c>
      <c r="D60" s="5" t="s">
        <v>16</v>
      </c>
      <c r="E60" s="5" t="s">
        <v>17</v>
      </c>
      <c r="F60" s="1" t="s">
        <v>234</v>
      </c>
      <c r="G60" s="1" t="n">
        <f aca="false">+593985819660</f>
        <v>593985819660</v>
      </c>
      <c r="H60" s="1" t="s">
        <v>235</v>
      </c>
      <c r="I60" s="5"/>
      <c r="J60" s="5"/>
      <c r="K60" s="1" t="s">
        <v>90</v>
      </c>
      <c r="L60" s="1" t="s">
        <v>21</v>
      </c>
      <c r="M60" s="1" t="s">
        <v>21</v>
      </c>
      <c r="N60" s="1"/>
      <c r="O60" s="1"/>
      <c r="P60" s="6" t="s">
        <v>21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21.75" hidden="false" customHeight="true" outlineLevel="0" collapsed="false">
      <c r="A61" s="4" t="n">
        <v>43444</v>
      </c>
      <c r="B61" s="5" t="s">
        <v>14</v>
      </c>
      <c r="C61" s="1" t="s">
        <v>26</v>
      </c>
      <c r="D61" s="5" t="s">
        <v>16</v>
      </c>
      <c r="E61" s="5" t="s">
        <v>17</v>
      </c>
      <c r="F61" s="9" t="s">
        <v>236</v>
      </c>
      <c r="G61" s="5" t="n">
        <v>72150256</v>
      </c>
      <c r="H61" s="5" t="s">
        <v>237</v>
      </c>
      <c r="I61" s="5"/>
      <c r="J61" s="1"/>
      <c r="K61" s="1" t="s">
        <v>238</v>
      </c>
      <c r="L61" s="1" t="s">
        <v>239</v>
      </c>
      <c r="M61" s="1"/>
      <c r="N61" s="1"/>
      <c r="O61" s="1"/>
      <c r="P61" s="6" t="s">
        <v>37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1.75" hidden="false" customHeight="true" outlineLevel="0" collapsed="false">
      <c r="A62" s="4" t="n">
        <v>43444</v>
      </c>
      <c r="B62" s="5" t="s">
        <v>14</v>
      </c>
      <c r="C62" s="1" t="s">
        <v>26</v>
      </c>
      <c r="D62" s="5" t="s">
        <v>16</v>
      </c>
      <c r="E62" s="5" t="s">
        <v>17</v>
      </c>
      <c r="F62" s="9" t="s">
        <v>240</v>
      </c>
      <c r="G62" s="5"/>
      <c r="H62" s="5" t="s">
        <v>241</v>
      </c>
      <c r="I62" s="5"/>
      <c r="J62" s="1"/>
      <c r="K62" s="1" t="s">
        <v>242</v>
      </c>
      <c r="L62" s="1"/>
      <c r="M62" s="1"/>
      <c r="N62" s="1"/>
      <c r="O62" s="1"/>
      <c r="P62" s="1" t="s">
        <v>21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21.75" hidden="false" customHeight="true" outlineLevel="0" collapsed="false">
      <c r="A63" s="4" t="n">
        <v>43444</v>
      </c>
      <c r="B63" s="8" t="s">
        <v>42</v>
      </c>
      <c r="C63" s="1" t="s">
        <v>26</v>
      </c>
      <c r="D63" s="5" t="s">
        <v>43</v>
      </c>
      <c r="E63" s="5" t="s">
        <v>109</v>
      </c>
      <c r="F63" s="9" t="s">
        <v>243</v>
      </c>
      <c r="G63" s="5" t="n">
        <v>987347607</v>
      </c>
      <c r="H63" s="5" t="s">
        <v>244</v>
      </c>
      <c r="I63" s="5"/>
      <c r="J63" s="1"/>
      <c r="K63" s="1" t="s">
        <v>21</v>
      </c>
      <c r="L63" s="1" t="s">
        <v>21</v>
      </c>
      <c r="M63" s="1" t="s">
        <v>245</v>
      </c>
      <c r="N63" s="1"/>
      <c r="O63" s="1"/>
      <c r="P63" s="6" t="s">
        <v>21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21.75" hidden="false" customHeight="true" outlineLevel="0" collapsed="false">
      <c r="A64" s="4" t="n">
        <v>43444</v>
      </c>
      <c r="B64" s="8" t="s">
        <v>42</v>
      </c>
      <c r="C64" s="1" t="s">
        <v>26</v>
      </c>
      <c r="D64" s="1" t="s">
        <v>43</v>
      </c>
      <c r="E64" s="1" t="s">
        <v>109</v>
      </c>
      <c r="F64" s="1" t="s">
        <v>246</v>
      </c>
      <c r="G64" s="1" t="n">
        <f aca="false">+593998006657</f>
        <v>593998006657</v>
      </c>
      <c r="H64" s="1" t="s">
        <v>247</v>
      </c>
      <c r="I64" s="1" t="s">
        <v>68</v>
      </c>
      <c r="J64" s="1"/>
      <c r="K64" s="1" t="s">
        <v>21</v>
      </c>
      <c r="L64" s="1" t="s">
        <v>192</v>
      </c>
      <c r="M64" s="1"/>
      <c r="N64" s="1"/>
      <c r="O64" s="1"/>
      <c r="P64" s="6" t="s">
        <v>21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21.75" hidden="false" customHeight="true" outlineLevel="0" collapsed="false">
      <c r="A65" s="4" t="n">
        <v>43444</v>
      </c>
      <c r="B65" s="8" t="s">
        <v>42</v>
      </c>
      <c r="C65" s="1" t="s">
        <v>15</v>
      </c>
      <c r="D65" s="1" t="s">
        <v>43</v>
      </c>
      <c r="E65" s="1" t="s">
        <v>109</v>
      </c>
      <c r="F65" s="1" t="s">
        <v>248</v>
      </c>
      <c r="G65" s="1" t="n">
        <f aca="false">+593967191099</f>
        <v>593967191099</v>
      </c>
      <c r="H65" s="1" t="s">
        <v>249</v>
      </c>
      <c r="I65" s="1" t="s">
        <v>250</v>
      </c>
      <c r="J65" s="1"/>
      <c r="K65" s="1" t="s">
        <v>251</v>
      </c>
      <c r="L65" s="1" t="s">
        <v>21</v>
      </c>
      <c r="M65" s="1" t="s">
        <v>21</v>
      </c>
      <c r="N65" s="1"/>
      <c r="O65" s="1"/>
      <c r="P65" s="6" t="s">
        <v>21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21.75" hidden="false" customHeight="true" outlineLevel="0" collapsed="false">
      <c r="A66" s="4" t="n">
        <v>43444</v>
      </c>
      <c r="B66" s="1" t="s">
        <v>166</v>
      </c>
      <c r="C66" s="1" t="s">
        <v>15</v>
      </c>
      <c r="D66" s="5" t="s">
        <v>16</v>
      </c>
      <c r="E66" s="1" t="s">
        <v>17</v>
      </c>
      <c r="F66" s="1" t="s">
        <v>252</v>
      </c>
      <c r="G66" s="1" t="n">
        <f aca="false">+5930989093663</f>
        <v>5930989093663</v>
      </c>
      <c r="H66" s="1" t="s">
        <v>253</v>
      </c>
      <c r="I66" s="1" t="s">
        <v>254</v>
      </c>
      <c r="J66" s="1"/>
      <c r="K66" s="1" t="s">
        <v>255</v>
      </c>
      <c r="L66" s="1" t="s">
        <v>21</v>
      </c>
      <c r="M66" s="1" t="s">
        <v>256</v>
      </c>
      <c r="N66" s="1"/>
      <c r="O66" s="1"/>
      <c r="P66" s="6" t="s">
        <v>31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21.75" hidden="false" customHeight="true" outlineLevel="0" collapsed="false">
      <c r="A67" s="4" t="n">
        <v>43444</v>
      </c>
      <c r="B67" s="5" t="s">
        <v>166</v>
      </c>
      <c r="C67" s="1" t="s">
        <v>26</v>
      </c>
      <c r="D67" s="5" t="s">
        <v>16</v>
      </c>
      <c r="E67" s="5" t="s">
        <v>17</v>
      </c>
      <c r="F67" s="1" t="s">
        <v>257</v>
      </c>
      <c r="G67" s="1" t="n">
        <f aca="false">+593988782399</f>
        <v>593988782399</v>
      </c>
      <c r="H67" s="1" t="s">
        <v>258</v>
      </c>
      <c r="I67" s="5"/>
      <c r="J67" s="5"/>
      <c r="K67" s="1" t="s">
        <v>259</v>
      </c>
      <c r="L67" s="1" t="s">
        <v>260</v>
      </c>
      <c r="M67" s="1"/>
      <c r="N67" s="1"/>
      <c r="O67" s="1"/>
      <c r="P67" s="6" t="s">
        <v>126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21.75" hidden="false" customHeight="true" outlineLevel="0" collapsed="false">
      <c r="A68" s="4" t="n">
        <v>43444</v>
      </c>
      <c r="B68" s="5" t="s">
        <v>108</v>
      </c>
      <c r="C68" s="1" t="s">
        <v>26</v>
      </c>
      <c r="D68" s="5" t="s">
        <v>16</v>
      </c>
      <c r="E68" s="5" t="s">
        <v>109</v>
      </c>
      <c r="F68" s="1" t="s">
        <v>261</v>
      </c>
      <c r="G68" s="1" t="n">
        <f aca="false">+593968235451</f>
        <v>593968235451</v>
      </c>
      <c r="H68" s="1" t="s">
        <v>262</v>
      </c>
      <c r="I68" s="5"/>
      <c r="J68" s="5"/>
      <c r="K68" s="1" t="s">
        <v>21</v>
      </c>
      <c r="L68" s="1" t="s">
        <v>263</v>
      </c>
      <c r="M68" s="1"/>
      <c r="N68" s="1"/>
      <c r="O68" s="1"/>
      <c r="P68" s="6" t="s">
        <v>21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21.75" hidden="false" customHeight="true" outlineLevel="0" collapsed="false">
      <c r="A69" s="4" t="n">
        <v>43444</v>
      </c>
      <c r="B69" s="1" t="s">
        <v>108</v>
      </c>
      <c r="C69" s="1" t="s">
        <v>26</v>
      </c>
      <c r="D69" s="5" t="s">
        <v>16</v>
      </c>
      <c r="E69" s="5" t="s">
        <v>109</v>
      </c>
      <c r="F69" s="1" t="s">
        <v>264</v>
      </c>
      <c r="G69" s="1" t="n">
        <f aca="false">+593994523880</f>
        <v>593994523880</v>
      </c>
      <c r="H69" s="1" t="s">
        <v>265</v>
      </c>
      <c r="I69" s="5"/>
      <c r="J69" s="5"/>
      <c r="K69" s="1" t="s">
        <v>21</v>
      </c>
      <c r="L69" s="1" t="s">
        <v>21</v>
      </c>
      <c r="M69" s="1" t="s">
        <v>21</v>
      </c>
      <c r="N69" s="1"/>
      <c r="O69" s="1"/>
      <c r="P69" s="6" t="s">
        <v>21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21.75" hidden="false" customHeight="true" outlineLevel="0" collapsed="false">
      <c r="A70" s="4" t="n">
        <v>43444</v>
      </c>
      <c r="B70" s="5" t="s">
        <v>48</v>
      </c>
      <c r="C70" s="1" t="s">
        <v>26</v>
      </c>
      <c r="D70" s="5" t="s">
        <v>43</v>
      </c>
      <c r="E70" s="5" t="s">
        <v>44</v>
      </c>
      <c r="F70" s="5" t="s">
        <v>266</v>
      </c>
      <c r="G70" s="5" t="n">
        <v>996153142</v>
      </c>
      <c r="H70" s="10" t="s">
        <v>206</v>
      </c>
      <c r="I70" s="10"/>
      <c r="J70" s="1"/>
      <c r="K70" s="1" t="s">
        <v>21</v>
      </c>
      <c r="L70" s="1" t="s">
        <v>21</v>
      </c>
      <c r="M70" s="1"/>
      <c r="N70" s="1"/>
      <c r="O70" s="1"/>
      <c r="P70" s="6" t="s">
        <v>21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21.75" hidden="false" customHeight="true" outlineLevel="0" collapsed="false">
      <c r="A71" s="4" t="n">
        <v>43444</v>
      </c>
      <c r="B71" s="5" t="s">
        <v>127</v>
      </c>
      <c r="C71" s="1" t="s">
        <v>15</v>
      </c>
      <c r="D71" s="5" t="s">
        <v>43</v>
      </c>
      <c r="E71" s="1" t="s">
        <v>44</v>
      </c>
      <c r="F71" s="1" t="s">
        <v>267</v>
      </c>
      <c r="G71" s="1" t="n">
        <f aca="false">+5930996511444</f>
        <v>5930996511444</v>
      </c>
      <c r="H71" s="1" t="s">
        <v>268</v>
      </c>
      <c r="I71" s="1" t="s">
        <v>269</v>
      </c>
      <c r="J71" s="1"/>
      <c r="K71" s="1" t="s">
        <v>21</v>
      </c>
      <c r="L71" s="1" t="s">
        <v>21</v>
      </c>
      <c r="M71" s="1" t="s">
        <v>21</v>
      </c>
      <c r="N71" s="1"/>
      <c r="O71" s="1"/>
      <c r="P71" s="6" t="s">
        <v>21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21.75" hidden="false" customHeight="true" outlineLevel="0" collapsed="false">
      <c r="A72" s="4" t="n">
        <v>43444</v>
      </c>
      <c r="B72" s="5" t="s">
        <v>127</v>
      </c>
      <c r="C72" s="1" t="s">
        <v>26</v>
      </c>
      <c r="D72" s="5" t="s">
        <v>43</v>
      </c>
      <c r="E72" s="5" t="s">
        <v>109</v>
      </c>
      <c r="F72" s="1" t="s">
        <v>270</v>
      </c>
      <c r="G72" s="1" t="n">
        <f aca="false">+5930997274506</f>
        <v>5930997274506</v>
      </c>
      <c r="H72" s="1" t="s">
        <v>271</v>
      </c>
      <c r="I72" s="1" t="s">
        <v>272</v>
      </c>
      <c r="J72" s="1"/>
      <c r="K72" s="1" t="s">
        <v>21</v>
      </c>
      <c r="L72" s="1" t="s">
        <v>273</v>
      </c>
      <c r="M72" s="1" t="s">
        <v>274</v>
      </c>
      <c r="N72" s="1" t="s">
        <v>21</v>
      </c>
      <c r="O72" s="1"/>
      <c r="P72" s="6" t="s">
        <v>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21.75" hidden="false" customHeight="true" outlineLevel="0" collapsed="false">
      <c r="A73" s="4" t="n">
        <v>43444</v>
      </c>
      <c r="B73" s="5" t="s">
        <v>178</v>
      </c>
      <c r="C73" s="1" t="s">
        <v>26</v>
      </c>
      <c r="D73" s="5" t="s">
        <v>43</v>
      </c>
      <c r="E73" s="1" t="s">
        <v>44</v>
      </c>
      <c r="F73" s="1" t="s">
        <v>275</v>
      </c>
      <c r="G73" s="1" t="n">
        <f aca="false">+593987241697</f>
        <v>593987241697</v>
      </c>
      <c r="H73" s="1" t="s">
        <v>276</v>
      </c>
      <c r="I73" s="1" t="s">
        <v>24</v>
      </c>
      <c r="J73" s="1"/>
      <c r="K73" s="1" t="s">
        <v>277</v>
      </c>
      <c r="L73" s="1" t="s">
        <v>21</v>
      </c>
      <c r="M73" s="1" t="s">
        <v>21</v>
      </c>
      <c r="N73" s="1" t="s">
        <v>21</v>
      </c>
      <c r="O73" s="1"/>
      <c r="P73" s="6" t="s">
        <v>21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21.75" hidden="false" customHeight="true" outlineLevel="0" collapsed="false">
      <c r="A74" s="4" t="n">
        <v>43444</v>
      </c>
      <c r="B74" s="5" t="s">
        <v>178</v>
      </c>
      <c r="C74" s="1" t="s">
        <v>15</v>
      </c>
      <c r="D74" s="5" t="s">
        <v>43</v>
      </c>
      <c r="E74" s="1" t="s">
        <v>44</v>
      </c>
      <c r="F74" s="1" t="s">
        <v>278</v>
      </c>
      <c r="G74" s="1" t="n">
        <f aca="false">+593987587372</f>
        <v>593987587372</v>
      </c>
      <c r="H74" s="1" t="s">
        <v>279</v>
      </c>
      <c r="I74" s="1" t="s">
        <v>24</v>
      </c>
      <c r="J74" s="1"/>
      <c r="K74" s="1" t="s">
        <v>21</v>
      </c>
      <c r="L74" s="1" t="s">
        <v>21</v>
      </c>
      <c r="M74" s="1" t="s">
        <v>21</v>
      </c>
      <c r="N74" s="1"/>
      <c r="O74" s="1"/>
      <c r="P74" s="6" t="s">
        <v>21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21.75" hidden="false" customHeight="true" outlineLevel="0" collapsed="false">
      <c r="A75" s="4" t="n">
        <v>43444</v>
      </c>
      <c r="B75" s="5" t="s">
        <v>178</v>
      </c>
      <c r="C75" s="1" t="s">
        <v>15</v>
      </c>
      <c r="D75" s="5" t="s">
        <v>43</v>
      </c>
      <c r="E75" s="1" t="s">
        <v>44</v>
      </c>
      <c r="F75" s="1" t="s">
        <v>280</v>
      </c>
      <c r="G75" s="1" t="n">
        <f aca="false">+593968483672</f>
        <v>593968483672</v>
      </c>
      <c r="H75" s="1" t="s">
        <v>281</v>
      </c>
      <c r="I75" s="1" t="s">
        <v>68</v>
      </c>
      <c r="J75" s="1"/>
      <c r="K75" s="1" t="s">
        <v>282</v>
      </c>
      <c r="L75" s="1" t="s">
        <v>21</v>
      </c>
      <c r="M75" s="1" t="s">
        <v>21</v>
      </c>
      <c r="N75" s="1"/>
      <c r="O75" s="1"/>
      <c r="P75" s="6" t="s">
        <v>21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21.75" hidden="false" customHeight="true" outlineLevel="0" collapsed="false">
      <c r="A76" s="4" t="n">
        <v>43444</v>
      </c>
      <c r="B76" s="5" t="s">
        <v>81</v>
      </c>
      <c r="C76" s="1" t="s">
        <v>26</v>
      </c>
      <c r="D76" s="5" t="s">
        <v>43</v>
      </c>
      <c r="E76" s="5" t="s">
        <v>109</v>
      </c>
      <c r="F76" s="9" t="s">
        <v>283</v>
      </c>
      <c r="G76" s="5" t="n">
        <v>958881074</v>
      </c>
      <c r="H76" s="10" t="s">
        <v>284</v>
      </c>
      <c r="I76" s="10"/>
      <c r="J76" s="1"/>
      <c r="K76" s="1" t="s">
        <v>285</v>
      </c>
      <c r="L76" s="1"/>
      <c r="M76" s="1"/>
      <c r="N76" s="1"/>
      <c r="O76" s="1"/>
      <c r="P76" s="6" t="s">
        <v>126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21.75" hidden="false" customHeight="true" outlineLevel="0" collapsed="false">
      <c r="A77" s="4" t="n">
        <v>43444</v>
      </c>
      <c r="B77" s="11" t="s">
        <v>286</v>
      </c>
      <c r="C77" s="1" t="s">
        <v>26</v>
      </c>
      <c r="D77" s="5" t="s">
        <v>16</v>
      </c>
      <c r="E77" s="5" t="s">
        <v>17</v>
      </c>
      <c r="F77" s="1" t="s">
        <v>287</v>
      </c>
      <c r="G77" s="1" t="n">
        <f aca="false">+593995551694</f>
        <v>593995551694</v>
      </c>
      <c r="H77" s="1" t="s">
        <v>288</v>
      </c>
      <c r="I77" s="5"/>
      <c r="J77" s="5"/>
      <c r="K77" s="1" t="s">
        <v>21</v>
      </c>
      <c r="L77" s="1" t="s">
        <v>21</v>
      </c>
      <c r="M77" s="1" t="s">
        <v>21</v>
      </c>
      <c r="N77" s="1"/>
      <c r="O77" s="1"/>
      <c r="P77" s="6" t="s">
        <v>21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21.75" hidden="false" customHeight="true" outlineLevel="0" collapsed="false">
      <c r="A78" s="4" t="n">
        <v>43444</v>
      </c>
      <c r="B78" s="5" t="s">
        <v>86</v>
      </c>
      <c r="C78" s="1" t="s">
        <v>26</v>
      </c>
      <c r="D78" s="5" t="s">
        <v>16</v>
      </c>
      <c r="E78" s="5" t="s">
        <v>17</v>
      </c>
      <c r="F78" s="1" t="s">
        <v>289</v>
      </c>
      <c r="G78" s="1" t="n">
        <f aca="false">+593993041334</f>
        <v>593993041334</v>
      </c>
      <c r="H78" s="1" t="s">
        <v>290</v>
      </c>
      <c r="I78" s="5"/>
      <c r="J78" s="5"/>
      <c r="K78" s="1" t="s">
        <v>21</v>
      </c>
      <c r="L78" s="1" t="s">
        <v>291</v>
      </c>
      <c r="M78" s="1" t="s">
        <v>21</v>
      </c>
      <c r="N78" s="1"/>
      <c r="O78" s="1"/>
      <c r="P78" s="6" t="s">
        <v>31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21.75" hidden="false" customHeight="true" outlineLevel="0" collapsed="false">
      <c r="A79" s="4" t="n">
        <v>43444</v>
      </c>
      <c r="B79" s="5" t="s">
        <v>86</v>
      </c>
      <c r="C79" s="1" t="s">
        <v>26</v>
      </c>
      <c r="D79" s="5" t="s">
        <v>16</v>
      </c>
      <c r="E79" s="5" t="s">
        <v>17</v>
      </c>
      <c r="F79" s="1" t="s">
        <v>292</v>
      </c>
      <c r="G79" s="1" t="n">
        <f aca="false">+5930967549729</f>
        <v>5930967549729</v>
      </c>
      <c r="H79" s="1" t="s">
        <v>293</v>
      </c>
      <c r="I79" s="5"/>
      <c r="J79" s="5"/>
      <c r="K79" s="1" t="s">
        <v>263</v>
      </c>
      <c r="L79" s="1"/>
      <c r="M79" s="1"/>
      <c r="N79" s="1"/>
      <c r="O79" s="1"/>
      <c r="P79" s="6" t="s">
        <v>294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21.75" hidden="false" customHeight="true" outlineLevel="0" collapsed="false">
      <c r="A80" s="4" t="n">
        <v>43444</v>
      </c>
      <c r="B80" s="5" t="s">
        <v>86</v>
      </c>
      <c r="C80" s="1" t="s">
        <v>26</v>
      </c>
      <c r="D80" s="5" t="s">
        <v>16</v>
      </c>
      <c r="E80" s="5" t="s">
        <v>17</v>
      </c>
      <c r="F80" s="9" t="s">
        <v>295</v>
      </c>
      <c r="G80" s="5" t="n">
        <v>995967946</v>
      </c>
      <c r="H80" s="5" t="s">
        <v>296</v>
      </c>
      <c r="I80" s="5"/>
      <c r="J80" s="1"/>
      <c r="K80" s="1" t="s">
        <v>21</v>
      </c>
      <c r="L80" s="1" t="s">
        <v>297</v>
      </c>
      <c r="M80" s="1" t="s">
        <v>21</v>
      </c>
      <c r="N80" s="1" t="s">
        <v>21</v>
      </c>
      <c r="O80" s="1"/>
      <c r="P80" s="6" t="s">
        <v>21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21.75" hidden="false" customHeight="true" outlineLevel="0" collapsed="false">
      <c r="A81" s="4" t="n">
        <v>43444</v>
      </c>
      <c r="B81" s="5" t="s">
        <v>86</v>
      </c>
      <c r="C81" s="1" t="s">
        <v>26</v>
      </c>
      <c r="D81" s="5" t="s">
        <v>16</v>
      </c>
      <c r="E81" s="5" t="s">
        <v>17</v>
      </c>
      <c r="F81" s="9" t="s">
        <v>298</v>
      </c>
      <c r="G81" s="5" t="n">
        <v>986969402</v>
      </c>
      <c r="H81" s="5" t="s">
        <v>299</v>
      </c>
      <c r="I81" s="5"/>
      <c r="J81" s="1"/>
      <c r="K81" s="1" t="s">
        <v>300</v>
      </c>
      <c r="L81" s="1" t="s">
        <v>21</v>
      </c>
      <c r="M81" s="1" t="s">
        <v>21</v>
      </c>
      <c r="N81" s="1"/>
      <c r="O81" s="1"/>
      <c r="P81" s="6" t="s">
        <v>31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21.75" hidden="false" customHeight="true" outlineLevel="0" collapsed="false">
      <c r="A82" s="4" t="n">
        <v>43444</v>
      </c>
      <c r="B82" s="1" t="s">
        <v>301</v>
      </c>
      <c r="C82" s="1" t="s">
        <v>15</v>
      </c>
      <c r="D82" s="5" t="s">
        <v>16</v>
      </c>
      <c r="E82" s="1" t="s">
        <v>17</v>
      </c>
      <c r="F82" s="1" t="s">
        <v>302</v>
      </c>
      <c r="G82" s="1" t="n">
        <f aca="false">+5930998670742</f>
        <v>5930998670742</v>
      </c>
      <c r="H82" s="1" t="s">
        <v>303</v>
      </c>
      <c r="I82" s="1" t="s">
        <v>304</v>
      </c>
      <c r="J82" s="1"/>
      <c r="K82" s="1" t="s">
        <v>21</v>
      </c>
      <c r="L82" s="1" t="s">
        <v>21</v>
      </c>
      <c r="M82" s="1" t="s">
        <v>305</v>
      </c>
      <c r="N82" s="1"/>
      <c r="O82" s="1"/>
      <c r="P82" s="6" t="s">
        <v>31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21.75" hidden="false" customHeight="true" outlineLevel="0" collapsed="false">
      <c r="A83" s="4" t="n">
        <v>43445</v>
      </c>
      <c r="B83" s="5" t="s">
        <v>14</v>
      </c>
      <c r="C83" s="1" t="s">
        <v>26</v>
      </c>
      <c r="D83" s="1" t="s">
        <v>16</v>
      </c>
      <c r="E83" s="5" t="s">
        <v>17</v>
      </c>
      <c r="F83" s="1" t="s">
        <v>306</v>
      </c>
      <c r="G83" s="1" t="n">
        <f aca="false">+593982060000</f>
        <v>593982060000</v>
      </c>
      <c r="H83" s="1" t="s">
        <v>307</v>
      </c>
      <c r="I83" s="5"/>
      <c r="J83" s="5"/>
      <c r="K83" s="1" t="s">
        <v>21</v>
      </c>
      <c r="L83" s="1" t="s">
        <v>308</v>
      </c>
      <c r="M83" s="1"/>
      <c r="N83" s="1"/>
      <c r="O83" s="1"/>
      <c r="P83" s="1" t="s">
        <v>21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21.75" hidden="false" customHeight="true" outlineLevel="0" collapsed="false">
      <c r="A84" s="4" t="n">
        <v>43445</v>
      </c>
      <c r="B84" s="5" t="s">
        <v>14</v>
      </c>
      <c r="C84" s="1" t="s">
        <v>26</v>
      </c>
      <c r="D84" s="1" t="s">
        <v>16</v>
      </c>
      <c r="E84" s="5" t="s">
        <v>17</v>
      </c>
      <c r="F84" s="1" t="s">
        <v>309</v>
      </c>
      <c r="G84" s="1" t="n">
        <f aca="false">+593984829076</f>
        <v>593984829076</v>
      </c>
      <c r="H84" s="1" t="s">
        <v>310</v>
      </c>
      <c r="I84" s="5"/>
      <c r="J84" s="5"/>
      <c r="K84" s="1" t="s">
        <v>311</v>
      </c>
      <c r="L84" s="1" t="s">
        <v>21</v>
      </c>
      <c r="M84" s="1" t="s">
        <v>21</v>
      </c>
      <c r="N84" s="1"/>
      <c r="O84" s="1"/>
      <c r="P84" s="1" t="s">
        <v>21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21.75" hidden="false" customHeight="true" outlineLevel="0" collapsed="false">
      <c r="A85" s="4" t="n">
        <v>43445</v>
      </c>
      <c r="B85" s="5" t="s">
        <v>14</v>
      </c>
      <c r="C85" s="1" t="s">
        <v>26</v>
      </c>
      <c r="D85" s="1" t="s">
        <v>16</v>
      </c>
      <c r="E85" s="5" t="s">
        <v>17</v>
      </c>
      <c r="F85" s="1" t="s">
        <v>312</v>
      </c>
      <c r="G85" s="1" t="n">
        <f aca="false">+5930999060912</f>
        <v>5930999060912</v>
      </c>
      <c r="H85" s="1" t="s">
        <v>313</v>
      </c>
      <c r="I85" s="5"/>
      <c r="J85" s="5"/>
      <c r="K85" s="1" t="s">
        <v>314</v>
      </c>
      <c r="L85" s="1" t="s">
        <v>315</v>
      </c>
      <c r="M85" s="1" t="s">
        <v>21</v>
      </c>
      <c r="N85" s="1" t="s">
        <v>316</v>
      </c>
      <c r="O85" s="1"/>
      <c r="P85" s="6" t="s">
        <v>37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21.75" hidden="false" customHeight="true" outlineLevel="0" collapsed="false">
      <c r="A86" s="4" t="n">
        <v>43445</v>
      </c>
      <c r="B86" s="5" t="s">
        <v>14</v>
      </c>
      <c r="C86" s="1" t="s">
        <v>26</v>
      </c>
      <c r="D86" s="1" t="s">
        <v>16</v>
      </c>
      <c r="E86" s="5" t="s">
        <v>17</v>
      </c>
      <c r="F86" s="1" t="s">
        <v>317</v>
      </c>
      <c r="G86" s="1" t="n">
        <f aca="false">+593988589520</f>
        <v>593988589520</v>
      </c>
      <c r="H86" s="1" t="s">
        <v>318</v>
      </c>
      <c r="I86" s="5"/>
      <c r="J86" s="5"/>
      <c r="K86" s="1" t="s">
        <v>21</v>
      </c>
      <c r="L86" s="1" t="s">
        <v>21</v>
      </c>
      <c r="M86" s="1" t="s">
        <v>21</v>
      </c>
      <c r="N86" s="1"/>
      <c r="O86" s="1"/>
      <c r="P86" s="6" t="s">
        <v>21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21.75" hidden="false" customHeight="true" outlineLevel="0" collapsed="false">
      <c r="A87" s="4" t="n">
        <v>43445</v>
      </c>
      <c r="B87" s="5" t="s">
        <v>14</v>
      </c>
      <c r="C87" s="1" t="s">
        <v>26</v>
      </c>
      <c r="D87" s="1" t="s">
        <v>16</v>
      </c>
      <c r="E87" s="5" t="s">
        <v>17</v>
      </c>
      <c r="F87" s="1" t="s">
        <v>319</v>
      </c>
      <c r="G87" s="1" t="n">
        <f aca="false">+5930981191075</f>
        <v>5930981191075</v>
      </c>
      <c r="H87" s="1" t="s">
        <v>320</v>
      </c>
      <c r="I87" s="5"/>
      <c r="J87" s="5"/>
      <c r="K87" s="1" t="s">
        <v>321</v>
      </c>
      <c r="L87" s="1" t="s">
        <v>322</v>
      </c>
      <c r="M87" s="1"/>
      <c r="N87" s="1"/>
      <c r="O87" s="1"/>
      <c r="P87" s="6" t="s">
        <v>37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1.75" hidden="false" customHeight="true" outlineLevel="0" collapsed="false">
      <c r="A88" s="4" t="n">
        <v>43445</v>
      </c>
      <c r="B88" s="5" t="s">
        <v>323</v>
      </c>
      <c r="C88" s="1" t="s">
        <v>26</v>
      </c>
      <c r="D88" s="1" t="s">
        <v>43</v>
      </c>
      <c r="E88" s="5" t="s">
        <v>109</v>
      </c>
      <c r="F88" s="9" t="s">
        <v>324</v>
      </c>
      <c r="G88" s="5" t="n">
        <v>994896132</v>
      </c>
      <c r="H88" s="5" t="s">
        <v>325</v>
      </c>
      <c r="I88" s="5"/>
      <c r="J88" s="1"/>
      <c r="K88" s="1" t="s">
        <v>326</v>
      </c>
      <c r="L88" s="1" t="s">
        <v>21</v>
      </c>
      <c r="M88" s="1" t="s">
        <v>327</v>
      </c>
      <c r="N88" s="1"/>
      <c r="O88" s="1"/>
      <c r="P88" s="6" t="s">
        <v>37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21.75" hidden="false" customHeight="true" outlineLevel="0" collapsed="false">
      <c r="A89" s="4" t="n">
        <v>43445</v>
      </c>
      <c r="B89" s="5" t="s">
        <v>48</v>
      </c>
      <c r="C89" s="1" t="s">
        <v>15</v>
      </c>
      <c r="D89" s="5" t="s">
        <v>43</v>
      </c>
      <c r="E89" s="5" t="s">
        <v>44</v>
      </c>
      <c r="F89" s="1" t="s">
        <v>328</v>
      </c>
      <c r="G89" s="1" t="n">
        <f aca="false">+593999366872</f>
        <v>593999366872</v>
      </c>
      <c r="H89" s="1" t="s">
        <v>329</v>
      </c>
      <c r="I89" s="1" t="s">
        <v>330</v>
      </c>
      <c r="J89" s="1"/>
      <c r="K89" s="1" t="s">
        <v>21</v>
      </c>
      <c r="L89" s="1" t="s">
        <v>21</v>
      </c>
      <c r="M89" s="1" t="s">
        <v>21</v>
      </c>
      <c r="N89" s="1"/>
      <c r="O89" s="1"/>
      <c r="P89" s="1" t="s">
        <v>21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21.75" hidden="false" customHeight="true" outlineLevel="0" collapsed="false">
      <c r="A90" s="4" t="n">
        <v>43445</v>
      </c>
      <c r="B90" s="5" t="s">
        <v>48</v>
      </c>
      <c r="C90" s="1" t="s">
        <v>15</v>
      </c>
      <c r="D90" s="5" t="s">
        <v>43</v>
      </c>
      <c r="E90" s="5" t="s">
        <v>44</v>
      </c>
      <c r="F90" s="1" t="s">
        <v>331</v>
      </c>
      <c r="G90" s="1" t="n">
        <f aca="false">+5930984407020</f>
        <v>5930984407020</v>
      </c>
      <c r="H90" s="1" t="s">
        <v>332</v>
      </c>
      <c r="I90" s="1" t="s">
        <v>24</v>
      </c>
      <c r="J90" s="1"/>
      <c r="K90" s="1" t="s">
        <v>21</v>
      </c>
      <c r="L90" s="1" t="s">
        <v>21</v>
      </c>
      <c r="M90" s="1" t="s">
        <v>333</v>
      </c>
      <c r="N90" s="1"/>
      <c r="O90" s="1"/>
      <c r="P90" s="1" t="s">
        <v>37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21.75" hidden="false" customHeight="true" outlineLevel="0" collapsed="false">
      <c r="A91" s="4" t="n">
        <v>43445</v>
      </c>
      <c r="B91" s="5" t="s">
        <v>48</v>
      </c>
      <c r="C91" s="1" t="s">
        <v>26</v>
      </c>
      <c r="D91" s="1" t="s">
        <v>43</v>
      </c>
      <c r="E91" s="5" t="s">
        <v>44</v>
      </c>
      <c r="F91" s="9" t="s">
        <v>334</v>
      </c>
      <c r="G91" s="5" t="n">
        <v>968976258</v>
      </c>
      <c r="H91" s="12" t="s">
        <v>335</v>
      </c>
      <c r="I91" s="1"/>
      <c r="J91" s="1"/>
      <c r="K91" s="1" t="s">
        <v>21</v>
      </c>
      <c r="L91" s="1" t="s">
        <v>336</v>
      </c>
      <c r="M91" s="1" t="s">
        <v>21</v>
      </c>
      <c r="N91" s="1"/>
      <c r="O91" s="1"/>
      <c r="P91" s="6" t="s">
        <v>37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21.75" hidden="false" customHeight="true" outlineLevel="0" collapsed="false">
      <c r="A92" s="4" t="n">
        <v>43445</v>
      </c>
      <c r="B92" s="5" t="s">
        <v>48</v>
      </c>
      <c r="C92" s="1" t="s">
        <v>26</v>
      </c>
      <c r="D92" s="1" t="s">
        <v>43</v>
      </c>
      <c r="E92" s="5" t="s">
        <v>44</v>
      </c>
      <c r="F92" s="9" t="s">
        <v>337</v>
      </c>
      <c r="G92" s="5" t="n">
        <v>987219130</v>
      </c>
      <c r="H92" s="5" t="s">
        <v>338</v>
      </c>
      <c r="I92" s="5"/>
      <c r="J92" s="1"/>
      <c r="K92" s="1" t="s">
        <v>21</v>
      </c>
      <c r="L92" s="1" t="s">
        <v>170</v>
      </c>
      <c r="M92" s="1" t="s">
        <v>339</v>
      </c>
      <c r="N92" s="1"/>
      <c r="O92" s="1"/>
      <c r="P92" s="6" t="s">
        <v>37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21.75" hidden="false" customHeight="true" outlineLevel="0" collapsed="false">
      <c r="A93" s="4" t="n">
        <v>43445</v>
      </c>
      <c r="B93" s="5" t="s">
        <v>48</v>
      </c>
      <c r="C93" s="1" t="s">
        <v>26</v>
      </c>
      <c r="D93" s="1" t="s">
        <v>43</v>
      </c>
      <c r="E93" s="5" t="s">
        <v>109</v>
      </c>
      <c r="F93" s="9" t="s">
        <v>340</v>
      </c>
      <c r="G93" s="5" t="n">
        <v>960058303</v>
      </c>
      <c r="H93" s="5"/>
      <c r="I93" s="1"/>
      <c r="J93" s="1"/>
      <c r="K93" s="1" t="s">
        <v>21</v>
      </c>
      <c r="L93" s="13" t="s">
        <v>341</v>
      </c>
      <c r="M93" s="1"/>
      <c r="N93" s="1"/>
      <c r="O93" s="1"/>
      <c r="P93" s="13" t="s">
        <v>341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21.75" hidden="false" customHeight="true" outlineLevel="0" collapsed="false">
      <c r="A94" s="4" t="n">
        <v>43445</v>
      </c>
      <c r="B94" s="5" t="s">
        <v>48</v>
      </c>
      <c r="C94" s="1" t="s">
        <v>26</v>
      </c>
      <c r="D94" s="1" t="s">
        <v>43</v>
      </c>
      <c r="E94" s="5" t="s">
        <v>109</v>
      </c>
      <c r="F94" s="9" t="s">
        <v>342</v>
      </c>
      <c r="G94" s="5" t="n">
        <v>979326330</v>
      </c>
      <c r="H94" s="10" t="s">
        <v>343</v>
      </c>
      <c r="I94" s="10"/>
      <c r="J94" s="1"/>
      <c r="K94" s="1" t="s">
        <v>344</v>
      </c>
      <c r="L94" s="1" t="s">
        <v>345</v>
      </c>
      <c r="M94" s="1" t="s">
        <v>21</v>
      </c>
      <c r="N94" s="1"/>
      <c r="O94" s="1"/>
      <c r="P94" s="6" t="s">
        <v>37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21.75" hidden="false" customHeight="true" outlineLevel="0" collapsed="false">
      <c r="A95" s="4" t="n">
        <v>43445</v>
      </c>
      <c r="B95" s="5" t="s">
        <v>127</v>
      </c>
      <c r="C95" s="1" t="s">
        <v>15</v>
      </c>
      <c r="D95" s="5" t="s">
        <v>43</v>
      </c>
      <c r="E95" s="5" t="s">
        <v>44</v>
      </c>
      <c r="F95" s="1" t="s">
        <v>346</v>
      </c>
      <c r="G95" s="1" t="n">
        <f aca="false">+593989237472</f>
        <v>593989237472</v>
      </c>
      <c r="H95" s="1" t="s">
        <v>347</v>
      </c>
      <c r="I95" s="1" t="s">
        <v>68</v>
      </c>
      <c r="J95" s="1"/>
      <c r="K95" s="1" t="s">
        <v>21</v>
      </c>
      <c r="L95" s="1" t="s">
        <v>348</v>
      </c>
      <c r="M95" s="1" t="s">
        <v>58</v>
      </c>
      <c r="N95" s="1"/>
      <c r="O95" s="1"/>
      <c r="P95" s="1" t="s">
        <v>21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21.75" hidden="false" customHeight="true" outlineLevel="0" collapsed="false">
      <c r="A96" s="4" t="n">
        <v>43445</v>
      </c>
      <c r="B96" s="5" t="s">
        <v>127</v>
      </c>
      <c r="C96" s="1" t="s">
        <v>15</v>
      </c>
      <c r="D96" s="5" t="s">
        <v>43</v>
      </c>
      <c r="E96" s="5" t="s">
        <v>44</v>
      </c>
      <c r="F96" s="1" t="s">
        <v>349</v>
      </c>
      <c r="G96" s="1" t="n">
        <f aca="false">+5930995642157</f>
        <v>5930995642157</v>
      </c>
      <c r="H96" s="1" t="s">
        <v>350</v>
      </c>
      <c r="I96" s="1" t="s">
        <v>24</v>
      </c>
      <c r="J96" s="1"/>
      <c r="K96" s="1" t="s">
        <v>21</v>
      </c>
      <c r="L96" s="1" t="s">
        <v>21</v>
      </c>
      <c r="M96" s="1" t="s">
        <v>351</v>
      </c>
      <c r="N96" s="1"/>
      <c r="O96" s="1"/>
      <c r="P96" s="6" t="s">
        <v>37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21.75" hidden="false" customHeight="true" outlineLevel="0" collapsed="false">
      <c r="A97" s="4" t="n">
        <v>43445</v>
      </c>
      <c r="B97" s="5" t="s">
        <v>352</v>
      </c>
      <c r="C97" s="1" t="s">
        <v>26</v>
      </c>
      <c r="D97" s="1" t="s">
        <v>43</v>
      </c>
      <c r="E97" s="5" t="s">
        <v>109</v>
      </c>
      <c r="F97" s="9" t="s">
        <v>340</v>
      </c>
      <c r="G97" s="5" t="n">
        <v>960058303</v>
      </c>
      <c r="H97" s="5" t="s">
        <v>353</v>
      </c>
      <c r="I97" s="5"/>
      <c r="J97" s="1"/>
      <c r="K97" s="1" t="s">
        <v>192</v>
      </c>
      <c r="L97" s="1"/>
      <c r="M97" s="1"/>
      <c r="N97" s="1"/>
      <c r="O97" s="1"/>
      <c r="P97" s="6" t="s">
        <v>341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21.75" hidden="false" customHeight="true" outlineLevel="0" collapsed="false">
      <c r="A98" s="4" t="n">
        <v>43445</v>
      </c>
      <c r="B98" s="5" t="s">
        <v>178</v>
      </c>
      <c r="C98" s="1" t="s">
        <v>15</v>
      </c>
      <c r="D98" s="5" t="s">
        <v>43</v>
      </c>
      <c r="E98" s="5" t="s">
        <v>44</v>
      </c>
      <c r="F98" s="1" t="s">
        <v>354</v>
      </c>
      <c r="G98" s="1" t="n">
        <f aca="false">+5930958847082</f>
        <v>5930958847082</v>
      </c>
      <c r="H98" s="1" t="s">
        <v>355</v>
      </c>
      <c r="I98" s="1" t="s">
        <v>356</v>
      </c>
      <c r="J98" s="1"/>
      <c r="K98" s="1" t="s">
        <v>21</v>
      </c>
      <c r="L98" s="1" t="s">
        <v>357</v>
      </c>
      <c r="M98" s="1" t="s">
        <v>358</v>
      </c>
      <c r="N98" s="1"/>
      <c r="O98" s="1"/>
      <c r="P98" s="6" t="s">
        <v>37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21.75" hidden="false" customHeight="true" outlineLevel="0" collapsed="false">
      <c r="A99" s="4" t="n">
        <v>43445</v>
      </c>
      <c r="B99" s="5" t="s">
        <v>81</v>
      </c>
      <c r="C99" s="1" t="s">
        <v>15</v>
      </c>
      <c r="D99" s="5" t="s">
        <v>43</v>
      </c>
      <c r="E99" s="5" t="s">
        <v>44</v>
      </c>
      <c r="F99" s="1" t="s">
        <v>359</v>
      </c>
      <c r="G99" s="1" t="n">
        <f aca="false">+593981282790</f>
        <v>593981282790</v>
      </c>
      <c r="H99" s="1" t="s">
        <v>360</v>
      </c>
      <c r="I99" s="1" t="s">
        <v>361</v>
      </c>
      <c r="J99" s="1"/>
      <c r="K99" s="1" t="s">
        <v>21</v>
      </c>
      <c r="L99" s="1" t="s">
        <v>362</v>
      </c>
      <c r="M99" s="1" t="s">
        <v>21</v>
      </c>
      <c r="N99" s="1"/>
      <c r="O99" s="1"/>
      <c r="P99" s="1" t="s">
        <v>21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21.75" hidden="false" customHeight="true" outlineLevel="0" collapsed="false">
      <c r="A100" s="4" t="n">
        <v>43445</v>
      </c>
      <c r="B100" s="5" t="s">
        <v>86</v>
      </c>
      <c r="C100" s="1" t="s">
        <v>26</v>
      </c>
      <c r="D100" s="1" t="s">
        <v>16</v>
      </c>
      <c r="E100" s="5" t="s">
        <v>17</v>
      </c>
      <c r="F100" s="1" t="s">
        <v>363</v>
      </c>
      <c r="G100" s="1" t="n">
        <f aca="false">+593992271877</f>
        <v>593992271877</v>
      </c>
      <c r="H100" s="1" t="s">
        <v>364</v>
      </c>
      <c r="I100" s="5"/>
      <c r="J100" s="5"/>
      <c r="K100" s="1" t="s">
        <v>21</v>
      </c>
      <c r="L100" s="1" t="s">
        <v>365</v>
      </c>
      <c r="M100" s="1"/>
      <c r="N100" s="1"/>
      <c r="O100" s="1"/>
      <c r="P100" s="6" t="s">
        <v>37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21.75" hidden="false" customHeight="true" outlineLevel="0" collapsed="false">
      <c r="A101" s="4" t="n">
        <v>43445</v>
      </c>
      <c r="B101" s="5" t="s">
        <v>86</v>
      </c>
      <c r="C101" s="1" t="s">
        <v>26</v>
      </c>
      <c r="D101" s="1" t="s">
        <v>16</v>
      </c>
      <c r="E101" s="5" t="s">
        <v>17</v>
      </c>
      <c r="F101" s="1" t="s">
        <v>366</v>
      </c>
      <c r="G101" s="1" t="n">
        <f aca="false">+593998686904</f>
        <v>593998686904</v>
      </c>
      <c r="H101" s="1" t="s">
        <v>367</v>
      </c>
      <c r="I101" s="5"/>
      <c r="J101" s="5"/>
      <c r="K101" s="1" t="s">
        <v>368</v>
      </c>
      <c r="L101" s="1" t="s">
        <v>21</v>
      </c>
      <c r="M101" s="1" t="s">
        <v>21</v>
      </c>
      <c r="N101" s="1"/>
      <c r="O101" s="1"/>
      <c r="P101" s="1" t="s">
        <v>21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21.75" hidden="false" customHeight="true" outlineLevel="0" collapsed="false">
      <c r="A102" s="4" t="n">
        <v>43445</v>
      </c>
      <c r="B102" s="5" t="s">
        <v>86</v>
      </c>
      <c r="C102" s="1" t="s">
        <v>26</v>
      </c>
      <c r="D102" s="1" t="s">
        <v>16</v>
      </c>
      <c r="E102" s="5" t="s">
        <v>17</v>
      </c>
      <c r="F102" s="1" t="s">
        <v>369</v>
      </c>
      <c r="G102" s="1" t="n">
        <f aca="false">+593985932402</f>
        <v>593985932402</v>
      </c>
      <c r="H102" s="1" t="s">
        <v>370</v>
      </c>
      <c r="I102" s="5"/>
      <c r="J102" s="5"/>
      <c r="K102" s="1" t="s">
        <v>21</v>
      </c>
      <c r="L102" s="1" t="s">
        <v>21</v>
      </c>
      <c r="M102" s="1" t="s">
        <v>371</v>
      </c>
      <c r="N102" s="1"/>
      <c r="O102" s="1"/>
      <c r="P102" s="6" t="s">
        <v>37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21.75" hidden="false" customHeight="true" outlineLevel="0" collapsed="false">
      <c r="A103" s="4" t="n">
        <v>43445</v>
      </c>
      <c r="B103" s="5" t="s">
        <v>86</v>
      </c>
      <c r="C103" s="1" t="s">
        <v>26</v>
      </c>
      <c r="D103" s="1" t="s">
        <v>16</v>
      </c>
      <c r="E103" s="5" t="s">
        <v>17</v>
      </c>
      <c r="F103" s="1" t="s">
        <v>372</v>
      </c>
      <c r="G103" s="1" t="n">
        <f aca="false">+593979461193</f>
        <v>593979461193</v>
      </c>
      <c r="H103" s="1" t="s">
        <v>373</v>
      </c>
      <c r="I103" s="5"/>
      <c r="J103" s="5"/>
      <c r="K103" s="1" t="s">
        <v>21</v>
      </c>
      <c r="L103" s="1" t="s">
        <v>21</v>
      </c>
      <c r="M103" s="1" t="s">
        <v>21</v>
      </c>
      <c r="N103" s="1"/>
      <c r="O103" s="1"/>
      <c r="P103" s="6" t="s">
        <v>21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1.75" hidden="false" customHeight="true" outlineLevel="0" collapsed="false">
      <c r="A104" s="4" t="n">
        <v>43445</v>
      </c>
      <c r="B104" s="5" t="s">
        <v>86</v>
      </c>
      <c r="C104" s="1" t="s">
        <v>26</v>
      </c>
      <c r="D104" s="1" t="s">
        <v>16</v>
      </c>
      <c r="E104" s="5" t="s">
        <v>17</v>
      </c>
      <c r="F104" s="1" t="s">
        <v>374</v>
      </c>
      <c r="G104" s="1" t="n">
        <f aca="false">+593994670479</f>
        <v>593994670479</v>
      </c>
      <c r="H104" s="1" t="s">
        <v>375</v>
      </c>
      <c r="I104" s="5"/>
      <c r="J104" s="5"/>
      <c r="K104" s="1" t="s">
        <v>21</v>
      </c>
      <c r="L104" s="1" t="s">
        <v>21</v>
      </c>
      <c r="M104" s="1" t="s">
        <v>170</v>
      </c>
      <c r="N104" s="1"/>
      <c r="O104" s="1"/>
      <c r="P104" s="6" t="s">
        <v>37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21.75" hidden="false" customHeight="true" outlineLevel="0" collapsed="false">
      <c r="A105" s="4" t="n">
        <v>43445</v>
      </c>
      <c r="B105" s="5" t="s">
        <v>86</v>
      </c>
      <c r="C105" s="1" t="s">
        <v>26</v>
      </c>
      <c r="D105" s="1" t="s">
        <v>16</v>
      </c>
      <c r="E105" s="5" t="s">
        <v>17</v>
      </c>
      <c r="F105" s="9" t="s">
        <v>376</v>
      </c>
      <c r="G105" s="5" t="n">
        <v>998295792</v>
      </c>
      <c r="H105" s="5" t="s">
        <v>377</v>
      </c>
      <c r="I105" s="5"/>
      <c r="J105" s="1"/>
      <c r="K105" s="1" t="s">
        <v>21</v>
      </c>
      <c r="L105" s="1" t="s">
        <v>378</v>
      </c>
      <c r="M105" s="1" t="s">
        <v>21</v>
      </c>
      <c r="N105" s="1"/>
      <c r="O105" s="1"/>
      <c r="P105" s="6" t="s">
        <v>37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21.75" hidden="false" customHeight="true" outlineLevel="0" collapsed="false">
      <c r="A106" s="4" t="n">
        <v>43446</v>
      </c>
      <c r="B106" s="5" t="s">
        <v>14</v>
      </c>
      <c r="C106" s="1" t="s">
        <v>15</v>
      </c>
      <c r="D106" s="1" t="s">
        <v>16</v>
      </c>
      <c r="E106" s="5" t="s">
        <v>17</v>
      </c>
      <c r="F106" s="1" t="s">
        <v>379</v>
      </c>
      <c r="G106" s="1" t="n">
        <f aca="false">+593988799356</f>
        <v>593988799356</v>
      </c>
      <c r="H106" s="1" t="s">
        <v>380</v>
      </c>
      <c r="I106" s="5"/>
      <c r="J106" s="5"/>
      <c r="K106" s="1" t="s">
        <v>21</v>
      </c>
      <c r="L106" s="1" t="s">
        <v>21</v>
      </c>
      <c r="M106" s="1" t="s">
        <v>21</v>
      </c>
      <c r="N106" s="1"/>
      <c r="O106" s="1"/>
      <c r="P106" s="1" t="s">
        <v>21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21.75" hidden="false" customHeight="true" outlineLevel="0" collapsed="false">
      <c r="A107" s="4" t="n">
        <v>43446</v>
      </c>
      <c r="B107" s="5" t="s">
        <v>14</v>
      </c>
      <c r="C107" s="1" t="s">
        <v>15</v>
      </c>
      <c r="D107" s="5" t="s">
        <v>16</v>
      </c>
      <c r="E107" s="5" t="s">
        <v>17</v>
      </c>
      <c r="F107" s="9" t="s">
        <v>381</v>
      </c>
      <c r="G107" s="5" t="n">
        <v>967261667</v>
      </c>
      <c r="H107" s="5" t="s">
        <v>382</v>
      </c>
      <c r="I107" s="5"/>
      <c r="J107" s="1"/>
      <c r="K107" s="1" t="s">
        <v>21</v>
      </c>
      <c r="L107" s="1" t="s">
        <v>21</v>
      </c>
      <c r="M107" s="1" t="s">
        <v>21</v>
      </c>
      <c r="N107" s="1"/>
      <c r="O107" s="1"/>
      <c r="P107" s="1" t="s">
        <v>21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21.75" hidden="false" customHeight="true" outlineLevel="0" collapsed="false">
      <c r="A108" s="4" t="n">
        <v>43446</v>
      </c>
      <c r="B108" s="8" t="s">
        <v>42</v>
      </c>
      <c r="C108" s="1" t="s">
        <v>383</v>
      </c>
      <c r="D108" s="5" t="s">
        <v>43</v>
      </c>
      <c r="E108" s="5" t="s">
        <v>109</v>
      </c>
      <c r="F108" s="9" t="s">
        <v>243</v>
      </c>
      <c r="G108" s="5" t="n">
        <v>987347607</v>
      </c>
      <c r="H108" s="5" t="s">
        <v>244</v>
      </c>
      <c r="I108" s="1"/>
      <c r="J108" s="1"/>
      <c r="K108" s="1" t="s">
        <v>384</v>
      </c>
      <c r="L108" s="1" t="s">
        <v>21</v>
      </c>
      <c r="M108" s="1"/>
      <c r="N108" s="1"/>
      <c r="O108" s="1"/>
      <c r="P108" s="1" t="s">
        <v>37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21.75" hidden="false" customHeight="true" outlineLevel="0" collapsed="false">
      <c r="A109" s="4" t="n">
        <v>43446</v>
      </c>
      <c r="B109" s="5" t="s">
        <v>48</v>
      </c>
      <c r="C109" s="1" t="s">
        <v>15</v>
      </c>
      <c r="D109" s="1" t="s">
        <v>43</v>
      </c>
      <c r="E109" s="1" t="s">
        <v>44</v>
      </c>
      <c r="F109" s="1" t="s">
        <v>385</v>
      </c>
      <c r="G109" s="1" t="n">
        <f aca="false">+593984945050</f>
        <v>593984945050</v>
      </c>
      <c r="H109" s="1" t="s">
        <v>386</v>
      </c>
      <c r="I109" s="1" t="s">
        <v>24</v>
      </c>
      <c r="J109" s="1"/>
      <c r="K109" s="1" t="s">
        <v>387</v>
      </c>
      <c r="L109" s="1" t="s">
        <v>388</v>
      </c>
      <c r="M109" s="1" t="s">
        <v>21</v>
      </c>
      <c r="N109" s="1"/>
      <c r="O109" s="1"/>
      <c r="P109" s="6" t="s">
        <v>37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21.75" hidden="false" customHeight="true" outlineLevel="0" collapsed="false">
      <c r="A110" s="4" t="n">
        <v>43446</v>
      </c>
      <c r="B110" s="5" t="s">
        <v>48</v>
      </c>
      <c r="C110" s="1" t="s">
        <v>15</v>
      </c>
      <c r="D110" s="1" t="s">
        <v>43</v>
      </c>
      <c r="E110" s="1" t="s">
        <v>44</v>
      </c>
      <c r="F110" s="1" t="s">
        <v>389</v>
      </c>
      <c r="G110" s="1" t="n">
        <f aca="false">+593982500020</f>
        <v>593982500020</v>
      </c>
      <c r="H110" s="1" t="s">
        <v>390</v>
      </c>
      <c r="I110" s="1" t="s">
        <v>391</v>
      </c>
      <c r="J110" s="1"/>
      <c r="K110" s="1" t="s">
        <v>21</v>
      </c>
      <c r="L110" s="1" t="s">
        <v>392</v>
      </c>
      <c r="M110" s="1"/>
      <c r="N110" s="1"/>
      <c r="O110" s="1"/>
      <c r="P110" s="6" t="s">
        <v>31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21.75" hidden="false" customHeight="true" outlineLevel="0" collapsed="false">
      <c r="A111" s="4" t="n">
        <v>43446</v>
      </c>
      <c r="B111" s="5" t="s">
        <v>48</v>
      </c>
      <c r="C111" s="1" t="s">
        <v>26</v>
      </c>
      <c r="D111" s="1" t="s">
        <v>43</v>
      </c>
      <c r="E111" s="1" t="s">
        <v>44</v>
      </c>
      <c r="F111" s="1" t="s">
        <v>393</v>
      </c>
      <c r="G111" s="1" t="n">
        <f aca="false">+593987990184</f>
        <v>593987990184</v>
      </c>
      <c r="H111" s="1" t="s">
        <v>394</v>
      </c>
      <c r="I111" s="1" t="s">
        <v>24</v>
      </c>
      <c r="J111" s="1"/>
      <c r="K111" s="1" t="s">
        <v>395</v>
      </c>
      <c r="L111" s="1" t="s">
        <v>396</v>
      </c>
      <c r="M111" s="14" t="s">
        <v>397</v>
      </c>
      <c r="N111" s="1"/>
      <c r="O111" s="1"/>
      <c r="P111" s="6" t="s">
        <v>31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21.75" hidden="false" customHeight="true" outlineLevel="0" collapsed="false">
      <c r="A112" s="4" t="n">
        <v>43446</v>
      </c>
      <c r="B112" s="5" t="s">
        <v>48</v>
      </c>
      <c r="C112" s="1" t="s">
        <v>15</v>
      </c>
      <c r="D112" s="1" t="s">
        <v>43</v>
      </c>
      <c r="E112" s="1" t="s">
        <v>44</v>
      </c>
      <c r="F112" s="1" t="s">
        <v>398</v>
      </c>
      <c r="G112" s="1" t="n">
        <f aca="false">+593981993306</f>
        <v>593981993306</v>
      </c>
      <c r="H112" s="1" t="s">
        <v>399</v>
      </c>
      <c r="I112" s="1" t="s">
        <v>400</v>
      </c>
      <c r="J112" s="1"/>
      <c r="K112" s="1" t="s">
        <v>21</v>
      </c>
      <c r="L112" s="1" t="s">
        <v>263</v>
      </c>
      <c r="M112" s="1"/>
      <c r="N112" s="1"/>
      <c r="O112" s="1"/>
      <c r="P112" s="1" t="s">
        <v>21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21.75" hidden="false" customHeight="true" outlineLevel="0" collapsed="false">
      <c r="A113" s="4" t="n">
        <v>43446</v>
      </c>
      <c r="B113" s="5" t="s">
        <v>48</v>
      </c>
      <c r="C113" s="1" t="s">
        <v>15</v>
      </c>
      <c r="D113" s="1" t="s">
        <v>43</v>
      </c>
      <c r="E113" s="1" t="s">
        <v>44</v>
      </c>
      <c r="F113" s="1" t="s">
        <v>401</v>
      </c>
      <c r="G113" s="1" t="n">
        <f aca="false">+593958615435</f>
        <v>593958615435</v>
      </c>
      <c r="H113" s="1" t="s">
        <v>402</v>
      </c>
      <c r="I113" s="1" t="s">
        <v>24</v>
      </c>
      <c r="J113" s="1"/>
      <c r="K113" s="1" t="s">
        <v>403</v>
      </c>
      <c r="L113" s="1" t="s">
        <v>21</v>
      </c>
      <c r="M113" s="1"/>
      <c r="N113" s="1"/>
      <c r="O113" s="1"/>
      <c r="P113" s="1" t="s">
        <v>21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21.75" hidden="false" customHeight="true" outlineLevel="0" collapsed="false">
      <c r="A114" s="4" t="n">
        <v>43446</v>
      </c>
      <c r="B114" s="5" t="s">
        <v>48</v>
      </c>
      <c r="C114" s="1" t="s">
        <v>383</v>
      </c>
      <c r="D114" s="1" t="s">
        <v>43</v>
      </c>
      <c r="E114" s="5" t="s">
        <v>44</v>
      </c>
      <c r="F114" s="9" t="s">
        <v>334</v>
      </c>
      <c r="G114" s="5" t="n">
        <v>968976258</v>
      </c>
      <c r="H114" s="12" t="s">
        <v>335</v>
      </c>
      <c r="I114" s="1"/>
      <c r="J114" s="1"/>
      <c r="K114" s="1" t="s">
        <v>21</v>
      </c>
      <c r="L114" s="1" t="s">
        <v>58</v>
      </c>
      <c r="M114" s="1" t="s">
        <v>21</v>
      </c>
      <c r="N114" s="1"/>
      <c r="O114" s="1"/>
      <c r="P114" s="1" t="s">
        <v>21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21.75" hidden="false" customHeight="true" outlineLevel="0" collapsed="false">
      <c r="A115" s="4" t="n">
        <v>43446</v>
      </c>
      <c r="B115" s="5" t="s">
        <v>48</v>
      </c>
      <c r="C115" s="1" t="s">
        <v>15</v>
      </c>
      <c r="D115" s="1" t="s">
        <v>43</v>
      </c>
      <c r="E115" s="1" t="s">
        <v>44</v>
      </c>
      <c r="F115" s="9" t="s">
        <v>404</v>
      </c>
      <c r="G115" s="5" t="n">
        <v>993814675</v>
      </c>
      <c r="H115" s="5" t="s">
        <v>405</v>
      </c>
      <c r="I115" s="5"/>
      <c r="J115" s="1"/>
      <c r="K115" s="1" t="s">
        <v>406</v>
      </c>
      <c r="L115" s="1" t="s">
        <v>407</v>
      </c>
      <c r="M115" s="1" t="s">
        <v>408</v>
      </c>
      <c r="N115" s="1"/>
      <c r="O115" s="1"/>
      <c r="P115" s="1" t="s">
        <v>37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21.75" hidden="false" customHeight="true" outlineLevel="0" collapsed="false">
      <c r="A116" s="4" t="n">
        <v>43446</v>
      </c>
      <c r="B116" s="5" t="s">
        <v>48</v>
      </c>
      <c r="C116" s="1" t="s">
        <v>383</v>
      </c>
      <c r="D116" s="1" t="s">
        <v>43</v>
      </c>
      <c r="E116" s="1" t="s">
        <v>109</v>
      </c>
      <c r="F116" s="9" t="s">
        <v>409</v>
      </c>
      <c r="G116" s="9"/>
      <c r="H116" s="5" t="s">
        <v>410</v>
      </c>
      <c r="I116" s="5"/>
      <c r="J116" s="1"/>
      <c r="K116" s="1" t="s">
        <v>411</v>
      </c>
      <c r="L116" s="1"/>
      <c r="M116" s="1"/>
      <c r="N116" s="1"/>
      <c r="O116" s="1"/>
      <c r="P116" s="1" t="s">
        <v>21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21.75" hidden="false" customHeight="true" outlineLevel="0" collapsed="false">
      <c r="A117" s="4" t="n">
        <v>43446</v>
      </c>
      <c r="B117" s="5" t="s">
        <v>127</v>
      </c>
      <c r="C117" s="1" t="s">
        <v>15</v>
      </c>
      <c r="D117" s="1" t="s">
        <v>43</v>
      </c>
      <c r="E117" s="1" t="s">
        <v>44</v>
      </c>
      <c r="F117" s="1" t="s">
        <v>412</v>
      </c>
      <c r="G117" s="1" t="n">
        <f aca="false">+593991332844</f>
        <v>593991332844</v>
      </c>
      <c r="H117" s="1" t="s">
        <v>413</v>
      </c>
      <c r="I117" s="1" t="s">
        <v>56</v>
      </c>
      <c r="J117" s="1"/>
      <c r="K117" s="1" t="s">
        <v>21</v>
      </c>
      <c r="L117" s="1" t="s">
        <v>21</v>
      </c>
      <c r="M117" s="1" t="s">
        <v>414</v>
      </c>
      <c r="N117" s="1"/>
      <c r="O117" s="1"/>
      <c r="P117" s="1" t="s">
        <v>37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21.75" hidden="false" customHeight="true" outlineLevel="0" collapsed="false">
      <c r="A118" s="4" t="n">
        <v>43446</v>
      </c>
      <c r="B118" s="5" t="s">
        <v>415</v>
      </c>
      <c r="C118" s="1" t="s">
        <v>15</v>
      </c>
      <c r="D118" s="1" t="s">
        <v>43</v>
      </c>
      <c r="E118" s="1" t="s">
        <v>44</v>
      </c>
      <c r="F118" s="1" t="s">
        <v>416</v>
      </c>
      <c r="G118" s="1" t="n">
        <f aca="false">+593998422222</f>
        <v>593998422222</v>
      </c>
      <c r="H118" s="1" t="s">
        <v>417</v>
      </c>
      <c r="I118" s="1" t="s">
        <v>272</v>
      </c>
      <c r="J118" s="1"/>
      <c r="K118" s="1" t="s">
        <v>21</v>
      </c>
      <c r="L118" s="1" t="s">
        <v>418</v>
      </c>
      <c r="M118" s="1"/>
      <c r="N118" s="1"/>
      <c r="O118" s="1"/>
      <c r="P118" s="6" t="s">
        <v>419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21.75" hidden="false" customHeight="true" outlineLevel="0" collapsed="false">
      <c r="A119" s="4" t="n">
        <v>43446</v>
      </c>
      <c r="B119" s="5" t="s">
        <v>415</v>
      </c>
      <c r="C119" s="1" t="s">
        <v>15</v>
      </c>
      <c r="D119" s="1" t="s">
        <v>43</v>
      </c>
      <c r="E119" s="1" t="s">
        <v>44</v>
      </c>
      <c r="F119" s="1" t="s">
        <v>420</v>
      </c>
      <c r="G119" s="1" t="n">
        <f aca="false">+5930958870390</f>
        <v>5930958870390</v>
      </c>
      <c r="H119" s="1" t="s">
        <v>421</v>
      </c>
      <c r="I119" s="1" t="s">
        <v>24</v>
      </c>
      <c r="J119" s="1"/>
      <c r="K119" s="1" t="s">
        <v>345</v>
      </c>
      <c r="L119" s="1" t="s">
        <v>422</v>
      </c>
      <c r="M119" s="1" t="s">
        <v>21</v>
      </c>
      <c r="N119" s="1"/>
      <c r="O119" s="1"/>
      <c r="P119" s="6" t="s">
        <v>37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21.75" hidden="false" customHeight="true" outlineLevel="0" collapsed="false">
      <c r="A120" s="4" t="n">
        <v>43446</v>
      </c>
      <c r="B120" s="5" t="s">
        <v>81</v>
      </c>
      <c r="C120" s="1" t="s">
        <v>15</v>
      </c>
      <c r="D120" s="1" t="s">
        <v>43</v>
      </c>
      <c r="E120" s="1" t="s">
        <v>44</v>
      </c>
      <c r="F120" s="1" t="s">
        <v>423</v>
      </c>
      <c r="G120" s="1" t="n">
        <f aca="false">+593997534997</f>
        <v>593997534997</v>
      </c>
      <c r="H120" s="1" t="s">
        <v>424</v>
      </c>
      <c r="I120" s="1" t="s">
        <v>24</v>
      </c>
      <c r="J120" s="1"/>
      <c r="K120" s="1" t="s">
        <v>425</v>
      </c>
      <c r="L120" s="1"/>
      <c r="M120" s="1" t="s">
        <v>21</v>
      </c>
      <c r="N120" s="1"/>
      <c r="O120" s="1"/>
      <c r="P120" s="1" t="s">
        <v>21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21.75" hidden="false" customHeight="true" outlineLevel="0" collapsed="false">
      <c r="A121" s="4" t="n">
        <v>43446</v>
      </c>
      <c r="B121" s="5" t="s">
        <v>81</v>
      </c>
      <c r="C121" s="1" t="s">
        <v>15</v>
      </c>
      <c r="D121" s="1" t="s">
        <v>43</v>
      </c>
      <c r="E121" s="1" t="s">
        <v>44</v>
      </c>
      <c r="F121" s="1" t="s">
        <v>337</v>
      </c>
      <c r="G121" s="1" t="n">
        <f aca="false">+593987219130</f>
        <v>593987219130</v>
      </c>
      <c r="H121" s="1" t="s">
        <v>426</v>
      </c>
      <c r="I121" s="1" t="s">
        <v>24</v>
      </c>
      <c r="J121" s="1"/>
      <c r="K121" s="1" t="s">
        <v>427</v>
      </c>
      <c r="L121" s="1" t="s">
        <v>428</v>
      </c>
      <c r="M121" s="1"/>
      <c r="N121" s="1"/>
      <c r="O121" s="1"/>
      <c r="P121" s="6" t="s">
        <v>133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21.75" hidden="false" customHeight="true" outlineLevel="0" collapsed="false">
      <c r="A122" s="4" t="n">
        <v>43446</v>
      </c>
      <c r="B122" s="5" t="s">
        <v>86</v>
      </c>
      <c r="C122" s="1" t="s">
        <v>15</v>
      </c>
      <c r="D122" s="1" t="s">
        <v>16</v>
      </c>
      <c r="E122" s="5" t="s">
        <v>17</v>
      </c>
      <c r="F122" s="1" t="s">
        <v>429</v>
      </c>
      <c r="G122" s="1" t="n">
        <f aca="false">+593959796697</f>
        <v>593959796697</v>
      </c>
      <c r="H122" s="1" t="s">
        <v>430</v>
      </c>
      <c r="I122" s="5"/>
      <c r="J122" s="5"/>
      <c r="K122" s="1" t="s">
        <v>431</v>
      </c>
      <c r="L122" s="1" t="s">
        <v>21</v>
      </c>
      <c r="M122" s="1" t="s">
        <v>21</v>
      </c>
      <c r="N122" s="1"/>
      <c r="O122" s="1"/>
      <c r="P122" s="1" t="s">
        <v>21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21.75" hidden="false" customHeight="true" outlineLevel="0" collapsed="false">
      <c r="A123" s="4" t="n">
        <v>43446</v>
      </c>
      <c r="B123" s="5" t="s">
        <v>86</v>
      </c>
      <c r="C123" s="1" t="s">
        <v>15</v>
      </c>
      <c r="D123" s="1" t="s">
        <v>16</v>
      </c>
      <c r="E123" s="5" t="s">
        <v>17</v>
      </c>
      <c r="F123" s="1" t="s">
        <v>432</v>
      </c>
      <c r="G123" s="1" t="n">
        <f aca="false">+593994809493</f>
        <v>593994809493</v>
      </c>
      <c r="H123" s="1" t="s">
        <v>433</v>
      </c>
      <c r="I123" s="5"/>
      <c r="J123" s="5"/>
      <c r="K123" s="1" t="s">
        <v>434</v>
      </c>
      <c r="L123" s="1" t="s">
        <v>435</v>
      </c>
      <c r="M123" s="1" t="s">
        <v>21</v>
      </c>
      <c r="N123" s="1"/>
      <c r="O123" s="1"/>
      <c r="P123" s="1" t="s">
        <v>21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21.75" hidden="false" customHeight="true" outlineLevel="0" collapsed="false">
      <c r="A124" s="4" t="n">
        <v>43446</v>
      </c>
      <c r="B124" s="5" t="s">
        <v>86</v>
      </c>
      <c r="C124" s="1" t="s">
        <v>15</v>
      </c>
      <c r="D124" s="1" t="s">
        <v>16</v>
      </c>
      <c r="E124" s="5" t="s">
        <v>17</v>
      </c>
      <c r="F124" s="1" t="s">
        <v>436</v>
      </c>
      <c r="G124" s="1" t="n">
        <f aca="false">+593984778298</f>
        <v>593984778298</v>
      </c>
      <c r="H124" s="1" t="s">
        <v>437</v>
      </c>
      <c r="I124" s="5"/>
      <c r="J124" s="5"/>
      <c r="K124" s="1" t="s">
        <v>21</v>
      </c>
      <c r="L124" s="1" t="s">
        <v>21</v>
      </c>
      <c r="M124" s="1" t="s">
        <v>21</v>
      </c>
      <c r="N124" s="1"/>
      <c r="O124" s="1"/>
      <c r="P124" s="1" t="s">
        <v>21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21.75" hidden="false" customHeight="true" outlineLevel="0" collapsed="false">
      <c r="A125" s="4" t="n">
        <v>43446</v>
      </c>
      <c r="B125" s="5" t="s">
        <v>86</v>
      </c>
      <c r="C125" s="1" t="s">
        <v>15</v>
      </c>
      <c r="D125" s="1" t="s">
        <v>16</v>
      </c>
      <c r="E125" s="5" t="s">
        <v>17</v>
      </c>
      <c r="F125" s="1" t="s">
        <v>438</v>
      </c>
      <c r="G125" s="1" t="n">
        <f aca="false">+593989414986</f>
        <v>593989414986</v>
      </c>
      <c r="H125" s="1" t="s">
        <v>439</v>
      </c>
      <c r="I125" s="5"/>
      <c r="J125" s="5"/>
      <c r="K125" s="1" t="s">
        <v>440</v>
      </c>
      <c r="L125" s="1" t="s">
        <v>441</v>
      </c>
      <c r="M125" s="1" t="s">
        <v>21</v>
      </c>
      <c r="N125" s="1" t="s">
        <v>442</v>
      </c>
      <c r="O125" s="1"/>
      <c r="P125" s="6" t="s">
        <v>126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21.75" hidden="false" customHeight="true" outlineLevel="0" collapsed="false">
      <c r="A126" s="4" t="n">
        <v>43447</v>
      </c>
      <c r="B126" s="5" t="s">
        <v>14</v>
      </c>
      <c r="C126" s="1" t="s">
        <v>15</v>
      </c>
      <c r="D126" s="1" t="s">
        <v>16</v>
      </c>
      <c r="E126" s="1" t="s">
        <v>17</v>
      </c>
      <c r="F126" s="1" t="s">
        <v>443</v>
      </c>
      <c r="G126" s="1" t="n">
        <f aca="false">+593982219751</f>
        <v>593982219751</v>
      </c>
      <c r="H126" s="1" t="s">
        <v>444</v>
      </c>
      <c r="I126" s="1"/>
      <c r="J126" s="5"/>
      <c r="K126" s="1" t="s">
        <v>21</v>
      </c>
      <c r="L126" s="1" t="s">
        <v>21</v>
      </c>
      <c r="M126" s="1" t="s">
        <v>21</v>
      </c>
      <c r="N126" s="1"/>
      <c r="O126" s="1"/>
      <c r="P126" s="1" t="s">
        <v>21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21.75" hidden="false" customHeight="true" outlineLevel="0" collapsed="false">
      <c r="A127" s="4" t="n">
        <v>43447</v>
      </c>
      <c r="B127" s="5" t="s">
        <v>14</v>
      </c>
      <c r="C127" s="1" t="s">
        <v>15</v>
      </c>
      <c r="D127" s="1" t="s">
        <v>16</v>
      </c>
      <c r="E127" s="1" t="s">
        <v>17</v>
      </c>
      <c r="F127" s="1" t="s">
        <v>445</v>
      </c>
      <c r="G127" s="1" t="n">
        <f aca="false">+593982219751</f>
        <v>593982219751</v>
      </c>
      <c r="H127" s="1" t="s">
        <v>446</v>
      </c>
      <c r="I127" s="1"/>
      <c r="J127" s="5"/>
      <c r="K127" s="1" t="s">
        <v>428</v>
      </c>
      <c r="L127" s="1"/>
      <c r="M127" s="1"/>
      <c r="N127" s="1"/>
      <c r="O127" s="1"/>
      <c r="P127" s="6" t="s">
        <v>31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21.75" hidden="false" customHeight="true" outlineLevel="0" collapsed="false">
      <c r="A128" s="4" t="n">
        <v>43447</v>
      </c>
      <c r="B128" s="5" t="s">
        <v>14</v>
      </c>
      <c r="C128" s="1" t="s">
        <v>15</v>
      </c>
      <c r="D128" s="1" t="s">
        <v>16</v>
      </c>
      <c r="E128" s="1" t="s">
        <v>17</v>
      </c>
      <c r="F128" s="1" t="s">
        <v>447</v>
      </c>
      <c r="G128" s="1" t="n">
        <f aca="false">+593993047457</f>
        <v>593993047457</v>
      </c>
      <c r="H128" s="1" t="s">
        <v>448</v>
      </c>
      <c r="I128" s="1"/>
      <c r="J128" s="5"/>
      <c r="K128" s="1" t="s">
        <v>449</v>
      </c>
      <c r="L128" s="1" t="s">
        <v>21</v>
      </c>
      <c r="M128" s="1" t="s">
        <v>21</v>
      </c>
      <c r="N128" s="1"/>
      <c r="O128" s="1"/>
      <c r="P128" s="1" t="s">
        <v>21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21.75" hidden="false" customHeight="true" outlineLevel="0" collapsed="false">
      <c r="A129" s="4" t="n">
        <v>43447</v>
      </c>
      <c r="B129" s="5" t="s">
        <v>14</v>
      </c>
      <c r="C129" s="1" t="s">
        <v>15</v>
      </c>
      <c r="D129" s="1" t="s">
        <v>16</v>
      </c>
      <c r="E129" s="1" t="s">
        <v>17</v>
      </c>
      <c r="F129" s="1" t="s">
        <v>450</v>
      </c>
      <c r="G129" s="1" t="n">
        <f aca="false">+5930996190308</f>
        <v>5930996190308</v>
      </c>
      <c r="H129" s="1" t="s">
        <v>451</v>
      </c>
      <c r="I129" s="1"/>
      <c r="J129" s="5"/>
      <c r="K129" s="1" t="s">
        <v>21</v>
      </c>
      <c r="L129" s="1" t="s">
        <v>21</v>
      </c>
      <c r="M129" s="1" t="s">
        <v>21</v>
      </c>
      <c r="N129" s="1"/>
      <c r="O129" s="1"/>
      <c r="P129" s="1" t="s">
        <v>21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21.75" hidden="false" customHeight="true" outlineLevel="0" collapsed="false">
      <c r="A130" s="4" t="n">
        <v>43447</v>
      </c>
      <c r="B130" s="5" t="s">
        <v>14</v>
      </c>
      <c r="C130" s="1" t="s">
        <v>15</v>
      </c>
      <c r="D130" s="1" t="s">
        <v>16</v>
      </c>
      <c r="E130" s="1" t="s">
        <v>17</v>
      </c>
      <c r="F130" s="1" t="s">
        <v>452</v>
      </c>
      <c r="G130" s="1" t="n">
        <f aca="false">+593994528857</f>
        <v>593994528857</v>
      </c>
      <c r="H130" s="1" t="s">
        <v>453</v>
      </c>
      <c r="I130" s="1"/>
      <c r="J130" s="5"/>
      <c r="K130" s="1" t="s">
        <v>454</v>
      </c>
      <c r="L130" s="1"/>
      <c r="M130" s="1"/>
      <c r="N130" s="1"/>
      <c r="O130" s="1"/>
      <c r="P130" s="6" t="s">
        <v>455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21.75" hidden="false" customHeight="true" outlineLevel="0" collapsed="false">
      <c r="A131" s="4" t="n">
        <v>43447</v>
      </c>
      <c r="B131" s="5" t="s">
        <v>14</v>
      </c>
      <c r="C131" s="1" t="s">
        <v>15</v>
      </c>
      <c r="D131" s="1" t="s">
        <v>16</v>
      </c>
      <c r="E131" s="1" t="s">
        <v>17</v>
      </c>
      <c r="F131" s="1" t="s">
        <v>456</v>
      </c>
      <c r="G131" s="1" t="n">
        <f aca="false">+593998835579</f>
        <v>593998835579</v>
      </c>
      <c r="H131" s="1" t="s">
        <v>457</v>
      </c>
      <c r="I131" s="1"/>
      <c r="J131" s="5"/>
      <c r="K131" s="1" t="s">
        <v>458</v>
      </c>
      <c r="L131" s="1" t="s">
        <v>21</v>
      </c>
      <c r="M131" s="1" t="s">
        <v>362</v>
      </c>
      <c r="N131" s="1"/>
      <c r="O131" s="1"/>
      <c r="P131" s="6" t="s">
        <v>37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21.75" hidden="false" customHeight="true" outlineLevel="0" collapsed="false">
      <c r="A132" s="4" t="n">
        <v>43447</v>
      </c>
      <c r="B132" s="8" t="s">
        <v>42</v>
      </c>
      <c r="C132" s="1" t="s">
        <v>15</v>
      </c>
      <c r="D132" s="1" t="s">
        <v>43</v>
      </c>
      <c r="E132" s="1" t="s">
        <v>44</v>
      </c>
      <c r="F132" s="1" t="s">
        <v>459</v>
      </c>
      <c r="G132" s="1" t="n">
        <f aca="false">+5930998142764</f>
        <v>5930998142764</v>
      </c>
      <c r="H132" s="1" t="s">
        <v>460</v>
      </c>
      <c r="I132" s="1"/>
      <c r="J132" s="1"/>
      <c r="K132" s="1" t="s">
        <v>21</v>
      </c>
      <c r="L132" s="1" t="s">
        <v>461</v>
      </c>
      <c r="M132" s="1" t="s">
        <v>21</v>
      </c>
      <c r="N132" s="1" t="s">
        <v>21</v>
      </c>
      <c r="O132" s="1"/>
      <c r="P132" s="6" t="s">
        <v>462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21.75" hidden="false" customHeight="true" outlineLevel="0" collapsed="false">
      <c r="A133" s="4" t="n">
        <v>43447</v>
      </c>
      <c r="B133" s="5" t="s">
        <v>48</v>
      </c>
      <c r="C133" s="1" t="s">
        <v>15</v>
      </c>
      <c r="D133" s="1" t="s">
        <v>43</v>
      </c>
      <c r="E133" s="1" t="s">
        <v>44</v>
      </c>
      <c r="F133" s="1" t="s">
        <v>463</v>
      </c>
      <c r="G133" s="1" t="n">
        <f aca="false">+593993710562</f>
        <v>593993710562</v>
      </c>
      <c r="H133" s="1" t="s">
        <v>464</v>
      </c>
      <c r="I133" s="1"/>
      <c r="J133" s="1"/>
      <c r="K133" s="1" t="s">
        <v>21</v>
      </c>
      <c r="L133" s="1" t="s">
        <v>21</v>
      </c>
      <c r="M133" s="1" t="s">
        <v>21</v>
      </c>
      <c r="N133" s="1" t="s">
        <v>21</v>
      </c>
      <c r="O133" s="1"/>
      <c r="P133" s="1" t="s">
        <v>21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21.75" hidden="false" customHeight="true" outlineLevel="0" collapsed="false">
      <c r="A134" s="4" t="n">
        <v>43447</v>
      </c>
      <c r="B134" s="5" t="s">
        <v>48</v>
      </c>
      <c r="C134" s="1" t="s">
        <v>15</v>
      </c>
      <c r="D134" s="1" t="s">
        <v>43</v>
      </c>
      <c r="E134" s="1" t="s">
        <v>44</v>
      </c>
      <c r="F134" s="1" t="s">
        <v>465</v>
      </c>
      <c r="G134" s="1" t="n">
        <f aca="false">+593998896896</f>
        <v>593998896896</v>
      </c>
      <c r="H134" s="1" t="s">
        <v>466</v>
      </c>
      <c r="I134" s="1"/>
      <c r="J134" s="1"/>
      <c r="K134" s="1" t="s">
        <v>21</v>
      </c>
      <c r="L134" s="1" t="s">
        <v>58</v>
      </c>
      <c r="M134" s="1" t="s">
        <v>21</v>
      </c>
      <c r="N134" s="1" t="s">
        <v>21</v>
      </c>
      <c r="O134" s="1"/>
      <c r="P134" s="1" t="s">
        <v>21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21.75" hidden="false" customHeight="true" outlineLevel="0" collapsed="false">
      <c r="A135" s="4" t="n">
        <v>43447</v>
      </c>
      <c r="B135" s="5" t="s">
        <v>48</v>
      </c>
      <c r="C135" s="1" t="s">
        <v>26</v>
      </c>
      <c r="D135" s="1" t="s">
        <v>43</v>
      </c>
      <c r="E135" s="1" t="s">
        <v>44</v>
      </c>
      <c r="F135" s="1" t="s">
        <v>467</v>
      </c>
      <c r="G135" s="1" t="n">
        <f aca="false">+5930992954186</f>
        <v>5930992954186</v>
      </c>
      <c r="H135" s="1" t="s">
        <v>468</v>
      </c>
      <c r="I135" s="1"/>
      <c r="J135" s="1"/>
      <c r="K135" s="1" t="s">
        <v>21</v>
      </c>
      <c r="L135" s="1" t="s">
        <v>21</v>
      </c>
      <c r="M135" s="1" t="s">
        <v>21</v>
      </c>
      <c r="N135" s="1" t="s">
        <v>21</v>
      </c>
      <c r="O135" s="1"/>
      <c r="P135" s="1" t="s">
        <v>21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21.75" hidden="false" customHeight="true" outlineLevel="0" collapsed="false">
      <c r="A136" s="4" t="n">
        <v>43447</v>
      </c>
      <c r="B136" s="5" t="s">
        <v>48</v>
      </c>
      <c r="C136" s="1" t="s">
        <v>15</v>
      </c>
      <c r="D136" s="1" t="s">
        <v>43</v>
      </c>
      <c r="E136" s="1" t="s">
        <v>44</v>
      </c>
      <c r="F136" s="1" t="s">
        <v>469</v>
      </c>
      <c r="G136" s="1" t="n">
        <f aca="false">+593978603039</f>
        <v>593978603039</v>
      </c>
      <c r="H136" s="1" t="s">
        <v>470</v>
      </c>
      <c r="I136" s="1"/>
      <c r="J136" s="1"/>
      <c r="K136" s="1" t="s">
        <v>471</v>
      </c>
      <c r="L136" s="1" t="s">
        <v>21</v>
      </c>
      <c r="M136" s="1" t="s">
        <v>21</v>
      </c>
      <c r="N136" s="1"/>
      <c r="O136" s="1"/>
      <c r="P136" s="1" t="s">
        <v>21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21.75" hidden="false" customHeight="true" outlineLevel="0" collapsed="false">
      <c r="A137" s="4" t="n">
        <v>43447</v>
      </c>
      <c r="B137" s="5" t="s">
        <v>48</v>
      </c>
      <c r="C137" s="1" t="s">
        <v>15</v>
      </c>
      <c r="D137" s="1" t="s">
        <v>43</v>
      </c>
      <c r="E137" s="1" t="s">
        <v>44</v>
      </c>
      <c r="F137" s="1" t="s">
        <v>472</v>
      </c>
      <c r="G137" s="1" t="n">
        <f aca="false">+593984314513</f>
        <v>593984314513</v>
      </c>
      <c r="H137" s="1" t="s">
        <v>473</v>
      </c>
      <c r="I137" s="1"/>
      <c r="J137" s="1"/>
      <c r="K137" s="1" t="s">
        <v>474</v>
      </c>
      <c r="L137" s="1" t="s">
        <v>475</v>
      </c>
      <c r="M137" s="1"/>
      <c r="N137" s="1"/>
      <c r="O137" s="1"/>
      <c r="P137" s="6" t="s">
        <v>37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21.75" hidden="false" customHeight="true" outlineLevel="0" collapsed="false">
      <c r="A138" s="4" t="n">
        <v>43447</v>
      </c>
      <c r="B138" s="5" t="s">
        <v>127</v>
      </c>
      <c r="C138" s="1" t="s">
        <v>15</v>
      </c>
      <c r="D138" s="1" t="s">
        <v>43</v>
      </c>
      <c r="E138" s="1" t="s">
        <v>44</v>
      </c>
      <c r="F138" s="1" t="s">
        <v>476</v>
      </c>
      <c r="G138" s="1" t="n">
        <f aca="false">+5930939743124</f>
        <v>5930939743124</v>
      </c>
      <c r="H138" s="1" t="s">
        <v>477</v>
      </c>
      <c r="I138" s="1"/>
      <c r="J138" s="1"/>
      <c r="K138" s="1" t="s">
        <v>29</v>
      </c>
      <c r="L138" s="1" t="s">
        <v>21</v>
      </c>
      <c r="M138" s="1" t="s">
        <v>21</v>
      </c>
      <c r="N138" s="1" t="s">
        <v>21</v>
      </c>
      <c r="O138" s="1"/>
      <c r="P138" s="1" t="s">
        <v>21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21.75" hidden="false" customHeight="true" outlineLevel="0" collapsed="false">
      <c r="A139" s="4" t="n">
        <v>43447</v>
      </c>
      <c r="B139" s="5" t="s">
        <v>127</v>
      </c>
      <c r="C139" s="1" t="s">
        <v>15</v>
      </c>
      <c r="D139" s="1" t="s">
        <v>43</v>
      </c>
      <c r="E139" s="1" t="s">
        <v>44</v>
      </c>
      <c r="F139" s="1" t="s">
        <v>478</v>
      </c>
      <c r="G139" s="1" t="n">
        <f aca="false">+593985077217</f>
        <v>593985077217</v>
      </c>
      <c r="H139" s="1" t="s">
        <v>479</v>
      </c>
      <c r="I139" s="1"/>
      <c r="J139" s="1"/>
      <c r="K139" s="1" t="s">
        <v>480</v>
      </c>
      <c r="L139" s="1" t="s">
        <v>21</v>
      </c>
      <c r="M139" s="1" t="s">
        <v>21</v>
      </c>
      <c r="N139" s="1" t="s">
        <v>21</v>
      </c>
      <c r="O139" s="1"/>
      <c r="P139" s="1" t="s">
        <v>21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21.75" hidden="false" customHeight="true" outlineLevel="0" collapsed="false">
      <c r="A140" s="4" t="n">
        <v>43447</v>
      </c>
      <c r="B140" s="5" t="s">
        <v>127</v>
      </c>
      <c r="C140" s="1" t="s">
        <v>15</v>
      </c>
      <c r="D140" s="5" t="s">
        <v>43</v>
      </c>
      <c r="E140" s="5" t="s">
        <v>109</v>
      </c>
      <c r="F140" s="9" t="s">
        <v>481</v>
      </c>
      <c r="G140" s="5" t="n">
        <v>982349341</v>
      </c>
      <c r="H140" s="5" t="s">
        <v>482</v>
      </c>
      <c r="I140" s="5"/>
      <c r="J140" s="1"/>
      <c r="K140" s="1" t="s">
        <v>21</v>
      </c>
      <c r="L140" s="1" t="s">
        <v>21</v>
      </c>
      <c r="M140" s="1" t="s">
        <v>21</v>
      </c>
      <c r="N140" s="1"/>
      <c r="O140" s="1"/>
      <c r="P140" s="1" t="s">
        <v>21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21.75" hidden="false" customHeight="true" outlineLevel="0" collapsed="false">
      <c r="A141" s="4" t="n">
        <v>43447</v>
      </c>
      <c r="B141" s="5" t="s">
        <v>178</v>
      </c>
      <c r="C141" s="1" t="s">
        <v>15</v>
      </c>
      <c r="D141" s="1" t="s">
        <v>43</v>
      </c>
      <c r="E141" s="1" t="s">
        <v>44</v>
      </c>
      <c r="F141" s="1" t="s">
        <v>483</v>
      </c>
      <c r="G141" s="1" t="n">
        <f aca="false">+593994460651</f>
        <v>593994460651</v>
      </c>
      <c r="H141" s="1" t="s">
        <v>484</v>
      </c>
      <c r="I141" s="1"/>
      <c r="J141" s="1"/>
      <c r="K141" s="1" t="s">
        <v>21</v>
      </c>
      <c r="L141" s="1" t="s">
        <v>21</v>
      </c>
      <c r="M141" s="1" t="s">
        <v>21</v>
      </c>
      <c r="N141" s="1" t="s">
        <v>21</v>
      </c>
      <c r="O141" s="1"/>
      <c r="P141" s="1" t="s">
        <v>21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21.75" hidden="false" customHeight="true" outlineLevel="0" collapsed="false">
      <c r="A142" s="4" t="n">
        <v>43447</v>
      </c>
      <c r="B142" s="5" t="s">
        <v>81</v>
      </c>
      <c r="C142" s="1" t="s">
        <v>15</v>
      </c>
      <c r="D142" s="1" t="s">
        <v>43</v>
      </c>
      <c r="E142" s="1" t="s">
        <v>44</v>
      </c>
      <c r="F142" s="1" t="s">
        <v>485</v>
      </c>
      <c r="G142" s="1" t="n">
        <f aca="false">+5930968608627</f>
        <v>5930968608627</v>
      </c>
      <c r="H142" s="1" t="s">
        <v>486</v>
      </c>
      <c r="I142" s="1"/>
      <c r="J142" s="1"/>
      <c r="K142" s="1" t="s">
        <v>21</v>
      </c>
      <c r="L142" s="1" t="s">
        <v>21</v>
      </c>
      <c r="M142" s="1" t="s">
        <v>21</v>
      </c>
      <c r="N142" s="1"/>
      <c r="O142" s="1"/>
      <c r="P142" s="1" t="s">
        <v>21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21.75" hidden="false" customHeight="true" outlineLevel="0" collapsed="false">
      <c r="A143" s="4" t="n">
        <v>43447</v>
      </c>
      <c r="B143" s="5" t="s">
        <v>86</v>
      </c>
      <c r="C143" s="1" t="s">
        <v>15</v>
      </c>
      <c r="D143" s="1" t="s">
        <v>16</v>
      </c>
      <c r="E143" s="1" t="s">
        <v>17</v>
      </c>
      <c r="F143" s="1" t="s">
        <v>376</v>
      </c>
      <c r="G143" s="1" t="n">
        <f aca="false">+5930998295792</f>
        <v>5930998295792</v>
      </c>
      <c r="H143" s="1" t="s">
        <v>377</v>
      </c>
      <c r="I143" s="1"/>
      <c r="J143" s="5"/>
      <c r="K143" s="1" t="s">
        <v>487</v>
      </c>
      <c r="L143" s="1" t="s">
        <v>21</v>
      </c>
      <c r="M143" s="1" t="s">
        <v>21</v>
      </c>
      <c r="N143" s="1"/>
      <c r="O143" s="1"/>
      <c r="P143" s="1" t="s">
        <v>21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21.75" hidden="false" customHeight="true" outlineLevel="0" collapsed="false">
      <c r="A144" s="4" t="n">
        <v>43448</v>
      </c>
      <c r="B144" s="5" t="s">
        <v>14</v>
      </c>
      <c r="C144" s="1" t="s">
        <v>15</v>
      </c>
      <c r="D144" s="5" t="s">
        <v>16</v>
      </c>
      <c r="E144" s="5" t="s">
        <v>17</v>
      </c>
      <c r="F144" s="9" t="s">
        <v>488</v>
      </c>
      <c r="G144" s="5"/>
      <c r="H144" s="5" t="s">
        <v>489</v>
      </c>
      <c r="I144" s="5"/>
      <c r="J144" s="1"/>
      <c r="K144" s="1" t="s">
        <v>490</v>
      </c>
      <c r="L144" s="1"/>
      <c r="M144" s="1"/>
      <c r="N144" s="1"/>
      <c r="O144" s="1"/>
      <c r="P144" s="6" t="s">
        <v>37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21.75" hidden="false" customHeight="true" outlineLevel="0" collapsed="false">
      <c r="A145" s="4" t="n">
        <v>43448</v>
      </c>
      <c r="B145" s="5" t="s">
        <v>14</v>
      </c>
      <c r="C145" s="1" t="s">
        <v>15</v>
      </c>
      <c r="D145" s="5" t="s">
        <v>16</v>
      </c>
      <c r="E145" s="1" t="s">
        <v>17</v>
      </c>
      <c r="F145" s="9" t="s">
        <v>491</v>
      </c>
      <c r="G145" s="5" t="n">
        <v>990626646</v>
      </c>
      <c r="H145" s="5" t="s">
        <v>492</v>
      </c>
      <c r="I145" s="5"/>
      <c r="J145" s="1"/>
      <c r="K145" s="1" t="s">
        <v>21</v>
      </c>
      <c r="L145" s="1" t="s">
        <v>21</v>
      </c>
      <c r="M145" s="1" t="s">
        <v>493</v>
      </c>
      <c r="N145" s="1"/>
      <c r="O145" s="1"/>
      <c r="P145" s="6" t="s">
        <v>37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21.75" hidden="false" customHeight="true" outlineLevel="0" collapsed="false">
      <c r="A146" s="4" t="n">
        <v>43448</v>
      </c>
      <c r="B146" s="8" t="s">
        <v>42</v>
      </c>
      <c r="C146" s="1" t="s">
        <v>15</v>
      </c>
      <c r="D146" s="1" t="s">
        <v>43</v>
      </c>
      <c r="E146" s="1" t="s">
        <v>44</v>
      </c>
      <c r="F146" s="1" t="s">
        <v>494</v>
      </c>
      <c r="G146" s="1" t="n">
        <f aca="false">+593999217808</f>
        <v>593999217808</v>
      </c>
      <c r="H146" s="1" t="s">
        <v>495</v>
      </c>
      <c r="I146" s="1" t="s">
        <v>84</v>
      </c>
      <c r="J146" s="1"/>
      <c r="K146" s="1" t="s">
        <v>21</v>
      </c>
      <c r="L146" s="1" t="s">
        <v>496</v>
      </c>
      <c r="M146" s="1"/>
      <c r="N146" s="1"/>
      <c r="O146" s="1"/>
      <c r="P146" s="6" t="s">
        <v>37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21.75" hidden="false" customHeight="true" outlineLevel="0" collapsed="false">
      <c r="A147" s="4" t="n">
        <v>43448</v>
      </c>
      <c r="B147" s="5" t="s">
        <v>166</v>
      </c>
      <c r="C147" s="1" t="s">
        <v>15</v>
      </c>
      <c r="D147" s="5" t="s">
        <v>16</v>
      </c>
      <c r="E147" s="5" t="s">
        <v>17</v>
      </c>
      <c r="F147" s="1" t="s">
        <v>497</v>
      </c>
      <c r="G147" s="1" t="n">
        <f aca="false">+593996576812</f>
        <v>593996576812</v>
      </c>
      <c r="H147" s="1" t="s">
        <v>498</v>
      </c>
      <c r="I147" s="1"/>
      <c r="J147" s="5"/>
      <c r="K147" s="1" t="s">
        <v>499</v>
      </c>
      <c r="L147" s="1"/>
      <c r="M147" s="1"/>
      <c r="N147" s="1"/>
      <c r="O147" s="1"/>
      <c r="P147" s="6" t="s">
        <v>126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21.75" hidden="false" customHeight="true" outlineLevel="0" collapsed="false">
      <c r="A148" s="4" t="n">
        <v>43448</v>
      </c>
      <c r="B148" s="5" t="s">
        <v>108</v>
      </c>
      <c r="C148" s="1" t="s">
        <v>15</v>
      </c>
      <c r="D148" s="5" t="s">
        <v>16</v>
      </c>
      <c r="E148" s="5" t="s">
        <v>109</v>
      </c>
      <c r="F148" s="1" t="s">
        <v>500</v>
      </c>
      <c r="G148" s="1" t="n">
        <f aca="false">+593959139186</f>
        <v>593959139186</v>
      </c>
      <c r="H148" s="1" t="s">
        <v>501</v>
      </c>
      <c r="I148" s="1"/>
      <c r="J148" s="5"/>
      <c r="K148" s="1" t="s">
        <v>21</v>
      </c>
      <c r="L148" s="1" t="s">
        <v>345</v>
      </c>
      <c r="M148" s="1" t="s">
        <v>502</v>
      </c>
      <c r="N148" s="1"/>
      <c r="O148" s="1"/>
      <c r="P148" s="6" t="s">
        <v>37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21.75" hidden="false" customHeight="true" outlineLevel="0" collapsed="false">
      <c r="A149" s="4" t="n">
        <v>43448</v>
      </c>
      <c r="B149" s="5" t="s">
        <v>108</v>
      </c>
      <c r="C149" s="1" t="s">
        <v>15</v>
      </c>
      <c r="D149" s="5" t="s">
        <v>16</v>
      </c>
      <c r="E149" s="5" t="s">
        <v>109</v>
      </c>
      <c r="F149" s="1" t="s">
        <v>503</v>
      </c>
      <c r="G149" s="1" t="n">
        <f aca="false">+5930989838458</f>
        <v>5930989838458</v>
      </c>
      <c r="H149" s="1" t="s">
        <v>504</v>
      </c>
      <c r="I149" s="1"/>
      <c r="J149" s="1"/>
      <c r="K149" s="1" t="s">
        <v>21</v>
      </c>
      <c r="L149" s="1" t="s">
        <v>505</v>
      </c>
      <c r="M149" s="1"/>
      <c r="N149" s="1"/>
      <c r="O149" s="1"/>
      <c r="P149" s="6" t="s">
        <v>126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21.75" hidden="false" customHeight="true" outlineLevel="0" collapsed="false">
      <c r="A150" s="4" t="n">
        <v>43448</v>
      </c>
      <c r="B150" s="5" t="s">
        <v>48</v>
      </c>
      <c r="C150" s="1" t="s">
        <v>15</v>
      </c>
      <c r="D150" s="1" t="s">
        <v>43</v>
      </c>
      <c r="E150" s="1" t="s">
        <v>44</v>
      </c>
      <c r="F150" s="1" t="s">
        <v>506</v>
      </c>
      <c r="G150" s="1" t="n">
        <f aca="false">+5930969055008</f>
        <v>5930969055008</v>
      </c>
      <c r="H150" s="1" t="s">
        <v>507</v>
      </c>
      <c r="I150" s="1" t="s">
        <v>508</v>
      </c>
      <c r="J150" s="1"/>
      <c r="K150" s="1" t="s">
        <v>21</v>
      </c>
      <c r="L150" s="1" t="s">
        <v>21</v>
      </c>
      <c r="M150" s="1" t="s">
        <v>509</v>
      </c>
      <c r="N150" s="1"/>
      <c r="O150" s="1"/>
      <c r="P150" s="6" t="s">
        <v>37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21.75" hidden="false" customHeight="true" outlineLevel="0" collapsed="false">
      <c r="A151" s="4" t="n">
        <v>43448</v>
      </c>
      <c r="B151" s="5" t="s">
        <v>48</v>
      </c>
      <c r="C151" s="1" t="s">
        <v>15</v>
      </c>
      <c r="D151" s="1" t="s">
        <v>43</v>
      </c>
      <c r="E151" s="1" t="s">
        <v>44</v>
      </c>
      <c r="F151" s="1" t="s">
        <v>510</v>
      </c>
      <c r="G151" s="1" t="n">
        <f aca="false">+593990774266</f>
        <v>593990774266</v>
      </c>
      <c r="H151" s="1" t="s">
        <v>511</v>
      </c>
      <c r="I151" s="1" t="s">
        <v>512</v>
      </c>
      <c r="J151" s="1"/>
      <c r="K151" s="1" t="s">
        <v>513</v>
      </c>
      <c r="L151" s="1" t="s">
        <v>514</v>
      </c>
      <c r="M151" s="1"/>
      <c r="N151" s="1"/>
      <c r="O151" s="1"/>
      <c r="P151" s="6" t="s">
        <v>37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21.75" hidden="false" customHeight="true" outlineLevel="0" collapsed="false">
      <c r="A152" s="4" t="n">
        <v>43448</v>
      </c>
      <c r="B152" s="5" t="s">
        <v>48</v>
      </c>
      <c r="C152" s="1" t="s">
        <v>15</v>
      </c>
      <c r="D152" s="1" t="s">
        <v>43</v>
      </c>
      <c r="E152" s="1" t="s">
        <v>44</v>
      </c>
      <c r="F152" s="1" t="s">
        <v>515</v>
      </c>
      <c r="G152" s="1" t="n">
        <f aca="false">+5930996825614</f>
        <v>5930996825614</v>
      </c>
      <c r="H152" s="1" t="s">
        <v>516</v>
      </c>
      <c r="I152" s="1" t="s">
        <v>517</v>
      </c>
      <c r="J152" s="1"/>
      <c r="K152" s="1" t="s">
        <v>21</v>
      </c>
      <c r="L152" s="1" t="s">
        <v>518</v>
      </c>
      <c r="M152" s="1" t="s">
        <v>21</v>
      </c>
      <c r="N152" s="1"/>
      <c r="O152" s="1"/>
      <c r="P152" s="6" t="s">
        <v>37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21.75" hidden="false" customHeight="true" outlineLevel="0" collapsed="false">
      <c r="A153" s="4" t="n">
        <v>43448</v>
      </c>
      <c r="B153" s="5" t="s">
        <v>48</v>
      </c>
      <c r="C153" s="1" t="s">
        <v>15</v>
      </c>
      <c r="D153" s="5" t="s">
        <v>43</v>
      </c>
      <c r="E153" s="5" t="s">
        <v>44</v>
      </c>
      <c r="F153" s="9" t="s">
        <v>519</v>
      </c>
      <c r="G153" s="5" t="n">
        <v>961140375</v>
      </c>
      <c r="H153" s="5" t="s">
        <v>520</v>
      </c>
      <c r="I153" s="5"/>
      <c r="J153" s="1"/>
      <c r="K153" s="1" t="s">
        <v>521</v>
      </c>
      <c r="L153" s="1"/>
      <c r="M153" s="1"/>
      <c r="N153" s="1"/>
      <c r="O153" s="1"/>
      <c r="P153" s="6" t="s">
        <v>31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21.75" hidden="false" customHeight="true" outlineLevel="0" collapsed="false">
      <c r="A154" s="4" t="n">
        <v>43448</v>
      </c>
      <c r="B154" s="5" t="s">
        <v>48</v>
      </c>
      <c r="C154" s="1" t="s">
        <v>15</v>
      </c>
      <c r="D154" s="1" t="s">
        <v>43</v>
      </c>
      <c r="E154" s="1" t="s">
        <v>109</v>
      </c>
      <c r="F154" s="9" t="s">
        <v>522</v>
      </c>
      <c r="G154" s="5" t="n">
        <v>968677327</v>
      </c>
      <c r="H154" s="5" t="s">
        <v>523</v>
      </c>
      <c r="I154" s="5"/>
      <c r="J154" s="1"/>
      <c r="K154" s="1" t="s">
        <v>21</v>
      </c>
      <c r="L154" s="1" t="s">
        <v>21</v>
      </c>
      <c r="M154" s="1"/>
      <c r="N154" s="1"/>
      <c r="O154" s="1"/>
      <c r="P154" s="6" t="s">
        <v>21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21.75" hidden="false" customHeight="true" outlineLevel="0" collapsed="false">
      <c r="A155" s="4" t="n">
        <v>43448</v>
      </c>
      <c r="B155" s="5" t="s">
        <v>48</v>
      </c>
      <c r="C155" s="1" t="s">
        <v>15</v>
      </c>
      <c r="D155" s="5" t="s">
        <v>43</v>
      </c>
      <c r="E155" s="5" t="s">
        <v>109</v>
      </c>
      <c r="F155" s="9" t="s">
        <v>524</v>
      </c>
      <c r="G155" s="5" t="n">
        <v>997355007</v>
      </c>
      <c r="H155" s="5" t="s">
        <v>525</v>
      </c>
      <c r="I155" s="5"/>
      <c r="J155" s="1"/>
      <c r="K155" s="1" t="s">
        <v>526</v>
      </c>
      <c r="L155" s="1"/>
      <c r="M155" s="1"/>
      <c r="N155" s="1"/>
      <c r="O155" s="1"/>
      <c r="P155" s="6" t="s">
        <v>31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21.75" hidden="false" customHeight="true" outlineLevel="0" collapsed="false">
      <c r="A156" s="4" t="n">
        <v>43448</v>
      </c>
      <c r="B156" s="5" t="s">
        <v>48</v>
      </c>
      <c r="C156" s="1" t="s">
        <v>15</v>
      </c>
      <c r="D156" s="5" t="s">
        <v>43</v>
      </c>
      <c r="E156" s="5" t="s">
        <v>109</v>
      </c>
      <c r="F156" s="9" t="s">
        <v>527</v>
      </c>
      <c r="G156" s="5" t="n">
        <v>988467653</v>
      </c>
      <c r="H156" s="10" t="s">
        <v>528</v>
      </c>
      <c r="I156" s="10"/>
      <c r="J156" s="1"/>
      <c r="K156" s="1" t="s">
        <v>529</v>
      </c>
      <c r="L156" s="1" t="s">
        <v>530</v>
      </c>
      <c r="M156" s="1"/>
      <c r="N156" s="1"/>
      <c r="O156" s="1"/>
      <c r="P156" s="6" t="s">
        <v>531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21.75" hidden="false" customHeight="true" outlineLevel="0" collapsed="false">
      <c r="A157" s="4" t="n">
        <v>43448</v>
      </c>
      <c r="B157" s="5" t="s">
        <v>532</v>
      </c>
      <c r="C157" s="1" t="s">
        <v>15</v>
      </c>
      <c r="D157" s="1" t="s">
        <v>43</v>
      </c>
      <c r="E157" s="1" t="s">
        <v>109</v>
      </c>
      <c r="F157" s="9" t="s">
        <v>533</v>
      </c>
      <c r="G157" s="5" t="n">
        <v>980985430</v>
      </c>
      <c r="H157" s="5" t="s">
        <v>534</v>
      </c>
      <c r="I157" s="5"/>
      <c r="J157" s="1"/>
      <c r="K157" s="1" t="s">
        <v>535</v>
      </c>
      <c r="L157" s="1"/>
      <c r="M157" s="1"/>
      <c r="N157" s="1"/>
      <c r="O157" s="1"/>
      <c r="P157" s="6" t="s">
        <v>37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21.75" hidden="false" customHeight="true" outlineLevel="0" collapsed="false">
      <c r="A158" s="4" t="n">
        <v>43448</v>
      </c>
      <c r="B158" s="5" t="s">
        <v>81</v>
      </c>
      <c r="C158" s="1" t="s">
        <v>15</v>
      </c>
      <c r="D158" s="1" t="s">
        <v>43</v>
      </c>
      <c r="E158" s="1" t="s">
        <v>44</v>
      </c>
      <c r="F158" s="1" t="s">
        <v>536</v>
      </c>
      <c r="G158" s="1" t="n">
        <f aca="false">+593987222802</f>
        <v>593987222802</v>
      </c>
      <c r="H158" s="1" t="s">
        <v>537</v>
      </c>
      <c r="I158" s="1" t="s">
        <v>24</v>
      </c>
      <c r="J158" s="1"/>
      <c r="K158" s="1" t="s">
        <v>21</v>
      </c>
      <c r="L158" s="1" t="s">
        <v>164</v>
      </c>
      <c r="M158" s="1"/>
      <c r="N158" s="1"/>
      <c r="O158" s="1"/>
      <c r="P158" s="6" t="s">
        <v>37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21.75" hidden="false" customHeight="true" outlineLevel="0" collapsed="false">
      <c r="A159" s="4" t="n">
        <v>43448</v>
      </c>
      <c r="B159" s="11" t="s">
        <v>286</v>
      </c>
      <c r="C159" s="1" t="s">
        <v>15</v>
      </c>
      <c r="D159" s="5" t="s">
        <v>16</v>
      </c>
      <c r="E159" s="5" t="s">
        <v>17</v>
      </c>
      <c r="F159" s="1" t="s">
        <v>538</v>
      </c>
      <c r="G159" s="1" t="n">
        <f aca="false">+593998074821</f>
        <v>593998074821</v>
      </c>
      <c r="H159" s="1" t="s">
        <v>539</v>
      </c>
      <c r="I159" s="1"/>
      <c r="J159" s="5"/>
      <c r="K159" s="1" t="s">
        <v>540</v>
      </c>
      <c r="L159" s="1" t="s">
        <v>541</v>
      </c>
      <c r="M159" s="1"/>
      <c r="N159" s="1"/>
      <c r="O159" s="1"/>
      <c r="P159" s="6" t="s">
        <v>37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21.75" hidden="false" customHeight="true" outlineLevel="0" collapsed="false">
      <c r="A160" s="4" t="n">
        <v>43448</v>
      </c>
      <c r="B160" s="5" t="s">
        <v>86</v>
      </c>
      <c r="C160" s="1" t="s">
        <v>15</v>
      </c>
      <c r="D160" s="5" t="s">
        <v>16</v>
      </c>
      <c r="E160" s="5" t="s">
        <v>17</v>
      </c>
      <c r="F160" s="1" t="s">
        <v>542</v>
      </c>
      <c r="G160" s="1" t="n">
        <f aca="false">+593992536820</f>
        <v>593992536820</v>
      </c>
      <c r="H160" s="1" t="s">
        <v>543</v>
      </c>
      <c r="I160" s="1"/>
      <c r="J160" s="5"/>
      <c r="K160" s="1" t="s">
        <v>21</v>
      </c>
      <c r="L160" s="1" t="s">
        <v>345</v>
      </c>
      <c r="M160" s="1" t="s">
        <v>21</v>
      </c>
      <c r="N160" s="1"/>
      <c r="O160" s="1"/>
      <c r="P160" s="1" t="s">
        <v>21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21.75" hidden="false" customHeight="true" outlineLevel="0" collapsed="false">
      <c r="A161" s="4" t="n">
        <v>43451</v>
      </c>
      <c r="B161" s="5" t="s">
        <v>14</v>
      </c>
      <c r="C161" s="1" t="s">
        <v>15</v>
      </c>
      <c r="D161" s="1" t="s">
        <v>16</v>
      </c>
      <c r="E161" s="1" t="s">
        <v>17</v>
      </c>
      <c r="F161" s="1" t="s">
        <v>544</v>
      </c>
      <c r="G161" s="1" t="n">
        <f aca="false">+593988834253</f>
        <v>593988834253</v>
      </c>
      <c r="H161" s="1" t="s">
        <v>545</v>
      </c>
      <c r="I161" s="5"/>
      <c r="J161" s="5"/>
      <c r="K161" s="1" t="s">
        <v>546</v>
      </c>
      <c r="L161" s="1"/>
      <c r="M161" s="1"/>
      <c r="N161" s="1"/>
      <c r="O161" s="1"/>
      <c r="P161" s="6" t="s">
        <v>419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21.75" hidden="false" customHeight="true" outlineLevel="0" collapsed="false">
      <c r="A162" s="4" t="n">
        <v>43451</v>
      </c>
      <c r="B162" s="5" t="s">
        <v>14</v>
      </c>
      <c r="C162" s="1" t="s">
        <v>15</v>
      </c>
      <c r="D162" s="1" t="s">
        <v>16</v>
      </c>
      <c r="E162" s="1" t="s">
        <v>17</v>
      </c>
      <c r="F162" s="1" t="s">
        <v>547</v>
      </c>
      <c r="G162" s="1" t="n">
        <f aca="false">+593969837647</f>
        <v>593969837647</v>
      </c>
      <c r="H162" s="1" t="s">
        <v>548</v>
      </c>
      <c r="I162" s="5"/>
      <c r="J162" s="5"/>
      <c r="K162" s="1" t="s">
        <v>549</v>
      </c>
      <c r="L162" s="1"/>
      <c r="M162" s="1"/>
      <c r="N162" s="1"/>
      <c r="O162" s="1"/>
      <c r="P162" s="6" t="s">
        <v>31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21.75" hidden="false" customHeight="true" outlineLevel="0" collapsed="false">
      <c r="A163" s="4" t="n">
        <v>43451</v>
      </c>
      <c r="B163" s="5" t="s">
        <v>14</v>
      </c>
      <c r="C163" s="1" t="s">
        <v>15</v>
      </c>
      <c r="D163" s="1" t="s">
        <v>16</v>
      </c>
      <c r="E163" s="1" t="s">
        <v>17</v>
      </c>
      <c r="F163" s="1" t="s">
        <v>550</v>
      </c>
      <c r="G163" s="1" t="n">
        <f aca="false">+593998668874</f>
        <v>593998668874</v>
      </c>
      <c r="H163" s="1" t="s">
        <v>551</v>
      </c>
      <c r="I163" s="5"/>
      <c r="J163" s="5"/>
      <c r="K163" s="1" t="s">
        <v>21</v>
      </c>
      <c r="L163" s="1" t="s">
        <v>21</v>
      </c>
      <c r="M163" s="1" t="s">
        <v>552</v>
      </c>
      <c r="N163" s="1"/>
      <c r="O163" s="1"/>
      <c r="P163" s="6" t="s">
        <v>419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21.75" hidden="false" customHeight="true" outlineLevel="0" collapsed="false">
      <c r="A164" s="4" t="n">
        <v>43451</v>
      </c>
      <c r="B164" s="5" t="s">
        <v>14</v>
      </c>
      <c r="C164" s="1" t="s">
        <v>15</v>
      </c>
      <c r="D164" s="1" t="s">
        <v>16</v>
      </c>
      <c r="E164" s="1" t="s">
        <v>17</v>
      </c>
      <c r="F164" s="1" t="s">
        <v>553</v>
      </c>
      <c r="G164" s="1" t="n">
        <f aca="false">+593982780212</f>
        <v>593982780212</v>
      </c>
      <c r="H164" s="1" t="s">
        <v>554</v>
      </c>
      <c r="I164" s="5"/>
      <c r="J164" s="5"/>
      <c r="K164" s="1" t="s">
        <v>21</v>
      </c>
      <c r="L164" s="1" t="s">
        <v>21</v>
      </c>
      <c r="M164" s="1" t="s">
        <v>21</v>
      </c>
      <c r="N164" s="1"/>
      <c r="O164" s="1"/>
      <c r="P164" s="1" t="s">
        <v>21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21.75" hidden="false" customHeight="true" outlineLevel="0" collapsed="false">
      <c r="A165" s="4" t="n">
        <v>43451</v>
      </c>
      <c r="B165" s="5" t="s">
        <v>14</v>
      </c>
      <c r="C165" s="1" t="s">
        <v>15</v>
      </c>
      <c r="D165" s="1" t="s">
        <v>16</v>
      </c>
      <c r="E165" s="1" t="s">
        <v>17</v>
      </c>
      <c r="F165" s="1" t="s">
        <v>555</v>
      </c>
      <c r="G165" s="1" t="n">
        <f aca="false">+593996242397</f>
        <v>593996242397</v>
      </c>
      <c r="H165" s="1" t="s">
        <v>556</v>
      </c>
      <c r="I165" s="5"/>
      <c r="J165" s="5"/>
      <c r="K165" s="1" t="s">
        <v>21</v>
      </c>
      <c r="L165" s="1" t="s">
        <v>21</v>
      </c>
      <c r="M165" s="1" t="s">
        <v>21</v>
      </c>
      <c r="N165" s="1"/>
      <c r="O165" s="1"/>
      <c r="P165" s="6" t="s">
        <v>21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21.75" hidden="false" customHeight="true" outlineLevel="0" collapsed="false">
      <c r="A166" s="4" t="n">
        <v>43451</v>
      </c>
      <c r="B166" s="8" t="s">
        <v>42</v>
      </c>
      <c r="C166" s="1" t="s">
        <v>26</v>
      </c>
      <c r="D166" s="1" t="s">
        <v>43</v>
      </c>
      <c r="E166" s="1" t="s">
        <v>44</v>
      </c>
      <c r="F166" s="1" t="s">
        <v>557</v>
      </c>
      <c r="G166" s="1" t="n">
        <f aca="false">+593986700524</f>
        <v>593986700524</v>
      </c>
      <c r="H166" s="1" t="s">
        <v>558</v>
      </c>
      <c r="I166" s="1" t="s">
        <v>559</v>
      </c>
      <c r="J166" s="1"/>
      <c r="K166" s="1" t="s">
        <v>21</v>
      </c>
      <c r="L166" s="1" t="s">
        <v>95</v>
      </c>
      <c r="M166" s="1" t="s">
        <v>21</v>
      </c>
      <c r="N166" s="1" t="s">
        <v>560</v>
      </c>
      <c r="O166" s="1"/>
      <c r="P166" s="6" t="s">
        <v>31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21.75" hidden="false" customHeight="true" outlineLevel="0" collapsed="false">
      <c r="A167" s="4" t="n">
        <v>43451</v>
      </c>
      <c r="B167" s="8" t="s">
        <v>42</v>
      </c>
      <c r="C167" s="1" t="s">
        <v>15</v>
      </c>
      <c r="D167" s="1" t="s">
        <v>43</v>
      </c>
      <c r="E167" s="1" t="s">
        <v>44</v>
      </c>
      <c r="F167" s="1" t="s">
        <v>561</v>
      </c>
      <c r="G167" s="1" t="n">
        <f aca="false">+593939387286</f>
        <v>593939387286</v>
      </c>
      <c r="H167" s="1" t="s">
        <v>562</v>
      </c>
      <c r="I167" s="1" t="s">
        <v>563</v>
      </c>
      <c r="J167" s="1"/>
      <c r="K167" s="1" t="s">
        <v>21</v>
      </c>
      <c r="L167" s="1" t="s">
        <v>564</v>
      </c>
      <c r="M167" s="1" t="s">
        <v>565</v>
      </c>
      <c r="N167" s="1" t="s">
        <v>21</v>
      </c>
      <c r="O167" s="1"/>
      <c r="P167" s="6" t="s">
        <v>21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21.75" hidden="false" customHeight="true" outlineLevel="0" collapsed="false">
      <c r="A168" s="4" t="n">
        <v>43451</v>
      </c>
      <c r="B168" s="5" t="s">
        <v>108</v>
      </c>
      <c r="C168" s="1" t="s">
        <v>15</v>
      </c>
      <c r="D168" s="1" t="s">
        <v>16</v>
      </c>
      <c r="E168" s="5" t="s">
        <v>109</v>
      </c>
      <c r="F168" s="1" t="s">
        <v>566</v>
      </c>
      <c r="G168" s="1" t="n">
        <f aca="false">+5930984666236</f>
        <v>5930984666236</v>
      </c>
      <c r="H168" s="1" t="s">
        <v>567</v>
      </c>
      <c r="I168" s="5"/>
      <c r="J168" s="5"/>
      <c r="K168" s="1" t="s">
        <v>336</v>
      </c>
      <c r="L168" s="1" t="s">
        <v>568</v>
      </c>
      <c r="M168" s="1"/>
      <c r="N168" s="1"/>
      <c r="O168" s="1"/>
      <c r="P168" s="6" t="s">
        <v>31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21.75" hidden="false" customHeight="true" outlineLevel="0" collapsed="false">
      <c r="A169" s="4" t="n">
        <v>43451</v>
      </c>
      <c r="B169" s="5" t="s">
        <v>108</v>
      </c>
      <c r="C169" s="1" t="s">
        <v>15</v>
      </c>
      <c r="D169" s="1" t="s">
        <v>16</v>
      </c>
      <c r="E169" s="5" t="s">
        <v>109</v>
      </c>
      <c r="F169" s="1" t="s">
        <v>569</v>
      </c>
      <c r="G169" s="1" t="n">
        <f aca="false">+593984274068</f>
        <v>593984274068</v>
      </c>
      <c r="H169" s="1" t="s">
        <v>570</v>
      </c>
      <c r="I169" s="5"/>
      <c r="J169" s="5"/>
      <c r="K169" s="1" t="s">
        <v>21</v>
      </c>
      <c r="L169" s="1" t="s">
        <v>21</v>
      </c>
      <c r="M169" s="1"/>
      <c r="N169" s="1"/>
      <c r="O169" s="1"/>
      <c r="P169" s="1" t="s">
        <v>21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21.75" hidden="false" customHeight="true" outlineLevel="0" collapsed="false">
      <c r="A170" s="4" t="n">
        <v>43451</v>
      </c>
      <c r="B170" s="5" t="s">
        <v>48</v>
      </c>
      <c r="C170" s="1" t="s">
        <v>26</v>
      </c>
      <c r="D170" s="1" t="s">
        <v>43</v>
      </c>
      <c r="E170" s="1" t="s">
        <v>44</v>
      </c>
      <c r="F170" s="1" t="s">
        <v>571</v>
      </c>
      <c r="G170" s="1" t="n">
        <f aca="false">+5930986496282</f>
        <v>5930986496282</v>
      </c>
      <c r="H170" s="1" t="s">
        <v>572</v>
      </c>
      <c r="I170" s="1" t="s">
        <v>24</v>
      </c>
      <c r="J170" s="1"/>
      <c r="K170" s="1" t="s">
        <v>21</v>
      </c>
      <c r="L170" s="1" t="s">
        <v>573</v>
      </c>
      <c r="M170" s="1" t="s">
        <v>21</v>
      </c>
      <c r="N170" s="1"/>
      <c r="O170" s="1"/>
      <c r="P170" s="6" t="s">
        <v>21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21.75" hidden="false" customHeight="true" outlineLevel="0" collapsed="false">
      <c r="A171" s="4" t="n">
        <v>43451</v>
      </c>
      <c r="B171" s="5" t="s">
        <v>48</v>
      </c>
      <c r="C171" s="1" t="s">
        <v>15</v>
      </c>
      <c r="D171" s="1" t="s">
        <v>43</v>
      </c>
      <c r="E171" s="1" t="s">
        <v>44</v>
      </c>
      <c r="F171" s="1" t="s">
        <v>574</v>
      </c>
      <c r="G171" s="1" t="n">
        <f aca="false">+5930993634168</f>
        <v>5930993634168</v>
      </c>
      <c r="H171" s="1" t="s">
        <v>575</v>
      </c>
      <c r="I171" s="1" t="s">
        <v>576</v>
      </c>
      <c r="J171" s="1"/>
      <c r="K171" s="1" t="s">
        <v>95</v>
      </c>
      <c r="L171" s="1" t="s">
        <v>21</v>
      </c>
      <c r="M171" s="1"/>
      <c r="N171" s="1"/>
      <c r="O171" s="1"/>
      <c r="P171" s="6" t="s">
        <v>21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21.75" hidden="false" customHeight="true" outlineLevel="0" collapsed="false">
      <c r="A172" s="4" t="n">
        <v>43451</v>
      </c>
      <c r="B172" s="5" t="s">
        <v>48</v>
      </c>
      <c r="C172" s="1" t="s">
        <v>15</v>
      </c>
      <c r="D172" s="1" t="s">
        <v>43</v>
      </c>
      <c r="E172" s="1" t="s">
        <v>44</v>
      </c>
      <c r="F172" s="1" t="s">
        <v>577</v>
      </c>
      <c r="G172" s="1" t="n">
        <f aca="false">+593989790642</f>
        <v>593989790642</v>
      </c>
      <c r="H172" s="1" t="s">
        <v>578</v>
      </c>
      <c r="I172" s="1" t="s">
        <v>579</v>
      </c>
      <c r="J172" s="1"/>
      <c r="K172" s="1" t="s">
        <v>580</v>
      </c>
      <c r="L172" s="1"/>
      <c r="M172" s="1"/>
      <c r="N172" s="1"/>
      <c r="O172" s="1"/>
      <c r="P172" s="6" t="s">
        <v>341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21.75" hidden="false" customHeight="true" outlineLevel="0" collapsed="false">
      <c r="A173" s="4" t="n">
        <v>43451</v>
      </c>
      <c r="B173" s="5" t="s">
        <v>48</v>
      </c>
      <c r="C173" s="1" t="s">
        <v>15</v>
      </c>
      <c r="D173" s="1" t="s">
        <v>43</v>
      </c>
      <c r="E173" s="1" t="s">
        <v>44</v>
      </c>
      <c r="F173" s="1" t="s">
        <v>581</v>
      </c>
      <c r="G173" s="1" t="n">
        <f aca="false">+593998181526</f>
        <v>593998181526</v>
      </c>
      <c r="H173" s="1" t="s">
        <v>582</v>
      </c>
      <c r="I173" s="1" t="s">
        <v>391</v>
      </c>
      <c r="J173" s="1"/>
      <c r="K173" s="1" t="s">
        <v>21</v>
      </c>
      <c r="L173" s="1" t="s">
        <v>21</v>
      </c>
      <c r="M173" s="1" t="s">
        <v>21</v>
      </c>
      <c r="N173" s="1" t="s">
        <v>583</v>
      </c>
      <c r="O173" s="1"/>
      <c r="P173" s="6" t="s">
        <v>31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21.75" hidden="false" customHeight="true" outlineLevel="0" collapsed="false">
      <c r="A174" s="4" t="n">
        <v>43451</v>
      </c>
      <c r="B174" s="5" t="s">
        <v>48</v>
      </c>
      <c r="C174" s="1" t="s">
        <v>15</v>
      </c>
      <c r="D174" s="1" t="s">
        <v>43</v>
      </c>
      <c r="E174" s="1" t="s">
        <v>44</v>
      </c>
      <c r="F174" s="1" t="s">
        <v>584</v>
      </c>
      <c r="G174" s="1" t="n">
        <f aca="false">+593997948660</f>
        <v>593997948660</v>
      </c>
      <c r="H174" s="1" t="s">
        <v>585</v>
      </c>
      <c r="I174" s="1" t="s">
        <v>356</v>
      </c>
      <c r="J174" s="1"/>
      <c r="K174" s="1" t="s">
        <v>586</v>
      </c>
      <c r="L174" s="1" t="s">
        <v>21</v>
      </c>
      <c r="M174" s="1" t="s">
        <v>21</v>
      </c>
      <c r="N174" s="1"/>
      <c r="O174" s="1"/>
      <c r="P174" s="6" t="s">
        <v>21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21.75" hidden="false" customHeight="true" outlineLevel="0" collapsed="false">
      <c r="A175" s="4" t="n">
        <v>43451</v>
      </c>
      <c r="B175" s="5" t="s">
        <v>48</v>
      </c>
      <c r="C175" s="1" t="s">
        <v>15</v>
      </c>
      <c r="D175" s="1" t="s">
        <v>43</v>
      </c>
      <c r="E175" s="1" t="s">
        <v>44</v>
      </c>
      <c r="F175" s="1" t="s">
        <v>587</v>
      </c>
      <c r="G175" s="1" t="n">
        <f aca="false">+593987173348</f>
        <v>593987173348</v>
      </c>
      <c r="H175" s="1" t="s">
        <v>588</v>
      </c>
      <c r="I175" s="1" t="s">
        <v>589</v>
      </c>
      <c r="J175" s="1"/>
      <c r="K175" s="1" t="s">
        <v>590</v>
      </c>
      <c r="L175" s="1" t="s">
        <v>95</v>
      </c>
      <c r="M175" s="1" t="s">
        <v>21</v>
      </c>
      <c r="N175" s="1" t="s">
        <v>21</v>
      </c>
      <c r="O175" s="1"/>
      <c r="P175" s="6" t="s">
        <v>21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21.75" hidden="false" customHeight="true" outlineLevel="0" collapsed="false">
      <c r="A176" s="4" t="n">
        <v>43451</v>
      </c>
      <c r="B176" s="5" t="s">
        <v>48</v>
      </c>
      <c r="C176" s="1" t="s">
        <v>15</v>
      </c>
      <c r="D176" s="1" t="s">
        <v>43</v>
      </c>
      <c r="E176" s="1" t="s">
        <v>44</v>
      </c>
      <c r="F176" s="1" t="s">
        <v>591</v>
      </c>
      <c r="G176" s="1" t="n">
        <f aca="false">+5930994873372</f>
        <v>5930994873372</v>
      </c>
      <c r="H176" s="1" t="s">
        <v>592</v>
      </c>
      <c r="I176" s="1" t="s">
        <v>593</v>
      </c>
      <c r="J176" s="1"/>
      <c r="K176" s="1" t="s">
        <v>21</v>
      </c>
      <c r="L176" s="1" t="s">
        <v>594</v>
      </c>
      <c r="M176" s="1" t="s">
        <v>21</v>
      </c>
      <c r="N176" s="1" t="s">
        <v>21</v>
      </c>
      <c r="O176" s="1"/>
      <c r="P176" s="6" t="s">
        <v>21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21.75" hidden="false" customHeight="true" outlineLevel="0" collapsed="false">
      <c r="A177" s="4" t="n">
        <v>43451</v>
      </c>
      <c r="B177" s="5" t="s">
        <v>48</v>
      </c>
      <c r="C177" s="1" t="s">
        <v>15</v>
      </c>
      <c r="D177" s="1" t="s">
        <v>43</v>
      </c>
      <c r="E177" s="1" t="s">
        <v>44</v>
      </c>
      <c r="F177" s="1" t="s">
        <v>595</v>
      </c>
      <c r="G177" s="1" t="n">
        <f aca="false">+593994902512</f>
        <v>593994902512</v>
      </c>
      <c r="H177" s="1" t="s">
        <v>596</v>
      </c>
      <c r="I177" s="1" t="s">
        <v>597</v>
      </c>
      <c r="J177" s="1"/>
      <c r="K177" s="1" t="s">
        <v>598</v>
      </c>
      <c r="L177" s="1" t="s">
        <v>21</v>
      </c>
      <c r="M177" s="1" t="s">
        <v>21</v>
      </c>
      <c r="N177" s="1" t="s">
        <v>21</v>
      </c>
      <c r="O177" s="1"/>
      <c r="P177" s="6" t="s">
        <v>21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21.75" hidden="false" customHeight="true" outlineLevel="0" collapsed="false">
      <c r="A178" s="4" t="n">
        <v>43451</v>
      </c>
      <c r="B178" s="5" t="s">
        <v>48</v>
      </c>
      <c r="C178" s="1" t="s">
        <v>15</v>
      </c>
      <c r="D178" s="1" t="s">
        <v>43</v>
      </c>
      <c r="E178" s="1" t="s">
        <v>44</v>
      </c>
      <c r="F178" s="1" t="s">
        <v>599</v>
      </c>
      <c r="G178" s="1" t="n">
        <f aca="false">+593997682893</f>
        <v>593997682893</v>
      </c>
      <c r="H178" s="1" t="s">
        <v>600</v>
      </c>
      <c r="I178" s="1" t="s">
        <v>68</v>
      </c>
      <c r="J178" s="1"/>
      <c r="K178" s="1" t="s">
        <v>601</v>
      </c>
      <c r="L178" s="1" t="s">
        <v>21</v>
      </c>
      <c r="M178" s="1" t="s">
        <v>21</v>
      </c>
      <c r="N178" s="1"/>
      <c r="O178" s="1"/>
      <c r="P178" s="6" t="s">
        <v>21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21.75" hidden="false" customHeight="true" outlineLevel="0" collapsed="false">
      <c r="A179" s="4" t="n">
        <v>43451</v>
      </c>
      <c r="B179" s="5" t="s">
        <v>48</v>
      </c>
      <c r="C179" s="1" t="s">
        <v>26</v>
      </c>
      <c r="D179" s="1" t="s">
        <v>43</v>
      </c>
      <c r="E179" s="1" t="s">
        <v>44</v>
      </c>
      <c r="F179" s="1" t="s">
        <v>602</v>
      </c>
      <c r="G179" s="1" t="n">
        <f aca="false">+593969078023</f>
        <v>593969078023</v>
      </c>
      <c r="H179" s="1" t="s">
        <v>603</v>
      </c>
      <c r="I179" s="1" t="s">
        <v>24</v>
      </c>
      <c r="J179" s="1"/>
      <c r="K179" s="1" t="s">
        <v>21</v>
      </c>
      <c r="L179" s="1" t="s">
        <v>21</v>
      </c>
      <c r="M179" s="1" t="s">
        <v>604</v>
      </c>
      <c r="N179" s="1" t="s">
        <v>21</v>
      </c>
      <c r="O179" s="1"/>
      <c r="P179" s="6" t="s">
        <v>21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21.75" hidden="false" customHeight="true" outlineLevel="0" collapsed="false">
      <c r="A180" s="4" t="n">
        <v>43451</v>
      </c>
      <c r="B180" s="5" t="s">
        <v>48</v>
      </c>
      <c r="C180" s="1" t="s">
        <v>26</v>
      </c>
      <c r="D180" s="1" t="s">
        <v>43</v>
      </c>
      <c r="E180" s="1" t="s">
        <v>44</v>
      </c>
      <c r="F180" s="1" t="s">
        <v>605</v>
      </c>
      <c r="G180" s="1" t="n">
        <f aca="false">+593939229484</f>
        <v>593939229484</v>
      </c>
      <c r="H180" s="1" t="s">
        <v>606</v>
      </c>
      <c r="I180" s="1" t="s">
        <v>607</v>
      </c>
      <c r="J180" s="1"/>
      <c r="K180" s="1" t="s">
        <v>21</v>
      </c>
      <c r="L180" s="1" t="s">
        <v>58</v>
      </c>
      <c r="M180" s="1" t="s">
        <v>21</v>
      </c>
      <c r="N180" s="1" t="s">
        <v>608</v>
      </c>
      <c r="O180" s="1"/>
      <c r="P180" s="6" t="s">
        <v>37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21.75" hidden="false" customHeight="true" outlineLevel="0" collapsed="false">
      <c r="A181" s="4" t="n">
        <v>43451</v>
      </c>
      <c r="B181" s="5" t="s">
        <v>48</v>
      </c>
      <c r="C181" s="1" t="s">
        <v>26</v>
      </c>
      <c r="D181" s="1" t="s">
        <v>43</v>
      </c>
      <c r="E181" s="1" t="s">
        <v>44</v>
      </c>
      <c r="F181" s="1" t="s">
        <v>609</v>
      </c>
      <c r="G181" s="1" t="n">
        <f aca="false">+593987027898</f>
        <v>593987027898</v>
      </c>
      <c r="H181" s="1" t="s">
        <v>610</v>
      </c>
      <c r="I181" s="1" t="s">
        <v>24</v>
      </c>
      <c r="J181" s="1"/>
      <c r="K181" s="1" t="s">
        <v>21</v>
      </c>
      <c r="L181" s="1" t="s">
        <v>611</v>
      </c>
      <c r="M181" s="1"/>
      <c r="N181" s="1"/>
      <c r="O181" s="1"/>
      <c r="P181" s="6" t="s">
        <v>37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21.75" hidden="false" customHeight="true" outlineLevel="0" collapsed="false">
      <c r="A182" s="4" t="n">
        <v>43451</v>
      </c>
      <c r="B182" s="5" t="s">
        <v>48</v>
      </c>
      <c r="C182" s="1" t="s">
        <v>15</v>
      </c>
      <c r="D182" s="1" t="s">
        <v>43</v>
      </c>
      <c r="E182" s="1" t="s">
        <v>44</v>
      </c>
      <c r="F182" s="1" t="s">
        <v>612</v>
      </c>
      <c r="G182" s="1" t="n">
        <f aca="false">+593984310939</f>
        <v>593984310939</v>
      </c>
      <c r="H182" s="1" t="s">
        <v>613</v>
      </c>
      <c r="I182" s="1" t="s">
        <v>563</v>
      </c>
      <c r="J182" s="1"/>
      <c r="K182" s="1" t="s">
        <v>21</v>
      </c>
      <c r="L182" s="1" t="s">
        <v>614</v>
      </c>
      <c r="M182" s="1"/>
      <c r="N182" s="1"/>
      <c r="O182" s="1"/>
      <c r="P182" s="6" t="s">
        <v>37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21.75" hidden="false" customHeight="true" outlineLevel="0" collapsed="false">
      <c r="A183" s="4" t="n">
        <v>43451</v>
      </c>
      <c r="B183" s="5" t="s">
        <v>48</v>
      </c>
      <c r="C183" s="1" t="s">
        <v>26</v>
      </c>
      <c r="D183" s="1" t="s">
        <v>43</v>
      </c>
      <c r="E183" s="1" t="s">
        <v>44</v>
      </c>
      <c r="F183" s="1" t="s">
        <v>615</v>
      </c>
      <c r="G183" s="1" t="n">
        <f aca="false">+593979436253</f>
        <v>593979436253</v>
      </c>
      <c r="H183" s="1" t="s">
        <v>616</v>
      </c>
      <c r="I183" s="1" t="s">
        <v>24</v>
      </c>
      <c r="J183" s="1"/>
      <c r="K183" s="1" t="s">
        <v>617</v>
      </c>
      <c r="L183" s="1" t="s">
        <v>21</v>
      </c>
      <c r="M183" s="1" t="s">
        <v>21</v>
      </c>
      <c r="N183" s="1" t="s">
        <v>21</v>
      </c>
      <c r="O183" s="1"/>
      <c r="P183" s="6" t="s">
        <v>21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21.75" hidden="false" customHeight="true" outlineLevel="0" collapsed="false">
      <c r="A184" s="4" t="n">
        <v>43451</v>
      </c>
      <c r="B184" s="5" t="s">
        <v>48</v>
      </c>
      <c r="C184" s="1" t="s">
        <v>15</v>
      </c>
      <c r="D184" s="1" t="s">
        <v>43</v>
      </c>
      <c r="E184" s="1" t="s">
        <v>44</v>
      </c>
      <c r="F184" s="1" t="s">
        <v>618</v>
      </c>
      <c r="G184" s="1" t="n">
        <f aca="false">+593969491283</f>
        <v>593969491283</v>
      </c>
      <c r="H184" s="1" t="s">
        <v>619</v>
      </c>
      <c r="I184" s="1" t="s">
        <v>391</v>
      </c>
      <c r="J184" s="1"/>
      <c r="K184" s="1" t="s">
        <v>620</v>
      </c>
      <c r="L184" s="1" t="s">
        <v>21</v>
      </c>
      <c r="M184" s="1" t="s">
        <v>21</v>
      </c>
      <c r="N184" s="1" t="s">
        <v>21</v>
      </c>
      <c r="O184" s="1"/>
      <c r="P184" s="6" t="s">
        <v>21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21.75" hidden="false" customHeight="true" outlineLevel="0" collapsed="false">
      <c r="A185" s="4" t="n">
        <v>43451</v>
      </c>
      <c r="B185" s="5" t="s">
        <v>127</v>
      </c>
      <c r="C185" s="1" t="s">
        <v>15</v>
      </c>
      <c r="D185" s="1" t="s">
        <v>43</v>
      </c>
      <c r="E185" s="1" t="s">
        <v>44</v>
      </c>
      <c r="F185" s="1" t="s">
        <v>621</v>
      </c>
      <c r="G185" s="1" t="n">
        <f aca="false">+593995881731</f>
        <v>593995881731</v>
      </c>
      <c r="H185" s="1" t="s">
        <v>622</v>
      </c>
      <c r="I185" s="1" t="s">
        <v>623</v>
      </c>
      <c r="J185" s="1"/>
      <c r="K185" s="1" t="s">
        <v>21</v>
      </c>
      <c r="L185" s="1" t="s">
        <v>21</v>
      </c>
      <c r="M185" s="1" t="s">
        <v>21</v>
      </c>
      <c r="N185" s="15" t="s">
        <v>21</v>
      </c>
      <c r="O185" s="1"/>
      <c r="P185" s="1" t="s">
        <v>21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21.75" hidden="false" customHeight="true" outlineLevel="0" collapsed="false">
      <c r="A186" s="4" t="n">
        <v>43451</v>
      </c>
      <c r="B186" s="5" t="s">
        <v>127</v>
      </c>
      <c r="C186" s="1" t="s">
        <v>15</v>
      </c>
      <c r="D186" s="1" t="s">
        <v>43</v>
      </c>
      <c r="E186" s="1" t="s">
        <v>44</v>
      </c>
      <c r="F186" s="1" t="s">
        <v>624</v>
      </c>
      <c r="G186" s="1" t="n">
        <f aca="false">+593992997544</f>
        <v>593992997544</v>
      </c>
      <c r="H186" s="1" t="s">
        <v>625</v>
      </c>
      <c r="I186" s="1" t="s">
        <v>626</v>
      </c>
      <c r="J186" s="1"/>
      <c r="K186" s="1" t="s">
        <v>21</v>
      </c>
      <c r="L186" s="1" t="s">
        <v>627</v>
      </c>
      <c r="M186" s="1"/>
      <c r="N186" s="1"/>
      <c r="O186" s="1"/>
      <c r="P186" s="6" t="s">
        <v>31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21.75" hidden="false" customHeight="true" outlineLevel="0" collapsed="false">
      <c r="A187" s="4" t="n">
        <v>43451</v>
      </c>
      <c r="B187" s="5" t="s">
        <v>127</v>
      </c>
      <c r="C187" s="1" t="s">
        <v>15</v>
      </c>
      <c r="D187" s="1" t="s">
        <v>43</v>
      </c>
      <c r="E187" s="1" t="s">
        <v>44</v>
      </c>
      <c r="F187" s="1" t="s">
        <v>628</v>
      </c>
      <c r="G187" s="1" t="n">
        <f aca="false">+593995269521</f>
        <v>593995269521</v>
      </c>
      <c r="H187" s="1" t="s">
        <v>629</v>
      </c>
      <c r="I187" s="1" t="s">
        <v>630</v>
      </c>
      <c r="J187" s="1"/>
      <c r="K187" s="1" t="s">
        <v>21</v>
      </c>
      <c r="L187" s="1" t="s">
        <v>21</v>
      </c>
      <c r="M187" s="1" t="s">
        <v>631</v>
      </c>
      <c r="N187" s="1"/>
      <c r="O187" s="1"/>
      <c r="P187" s="6" t="s">
        <v>37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21.75" hidden="false" customHeight="true" outlineLevel="0" collapsed="false">
      <c r="A188" s="4" t="n">
        <v>43451</v>
      </c>
      <c r="B188" s="5" t="s">
        <v>127</v>
      </c>
      <c r="C188" s="1" t="s">
        <v>15</v>
      </c>
      <c r="D188" s="1" t="s">
        <v>43</v>
      </c>
      <c r="E188" s="1" t="s">
        <v>44</v>
      </c>
      <c r="F188" s="1" t="s">
        <v>632</v>
      </c>
      <c r="G188" s="1" t="n">
        <f aca="false">+593986345514</f>
        <v>593986345514</v>
      </c>
      <c r="H188" s="1" t="s">
        <v>633</v>
      </c>
      <c r="I188" s="1" t="s">
        <v>634</v>
      </c>
      <c r="J188" s="1"/>
      <c r="K188" s="1" t="s">
        <v>170</v>
      </c>
      <c r="L188" s="1" t="s">
        <v>635</v>
      </c>
      <c r="M188" s="1"/>
      <c r="N188" s="1"/>
      <c r="O188" s="1"/>
      <c r="P188" s="6" t="s">
        <v>31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21.75" hidden="false" customHeight="true" outlineLevel="0" collapsed="false">
      <c r="A189" s="4" t="n">
        <v>43451</v>
      </c>
      <c r="B189" s="5" t="s">
        <v>127</v>
      </c>
      <c r="C189" s="1" t="s">
        <v>15</v>
      </c>
      <c r="D189" s="1" t="s">
        <v>43</v>
      </c>
      <c r="E189" s="1" t="s">
        <v>44</v>
      </c>
      <c r="F189" s="1" t="s">
        <v>636</v>
      </c>
      <c r="G189" s="1" t="n">
        <f aca="false">+593988503677</f>
        <v>593988503677</v>
      </c>
      <c r="H189" s="1" t="s">
        <v>637</v>
      </c>
      <c r="I189" s="1" t="s">
        <v>24</v>
      </c>
      <c r="J189" s="1"/>
      <c r="K189" s="1" t="s">
        <v>21</v>
      </c>
      <c r="L189" s="1" t="s">
        <v>638</v>
      </c>
      <c r="M189" s="1"/>
      <c r="N189" s="1"/>
      <c r="O189" s="1"/>
      <c r="P189" s="6" t="s">
        <v>37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21.75" hidden="false" customHeight="true" outlineLevel="0" collapsed="false">
      <c r="A190" s="4" t="n">
        <v>43451</v>
      </c>
      <c r="B190" s="5" t="s">
        <v>127</v>
      </c>
      <c r="C190" s="1" t="s">
        <v>15</v>
      </c>
      <c r="D190" s="1" t="s">
        <v>43</v>
      </c>
      <c r="E190" s="1" t="s">
        <v>44</v>
      </c>
      <c r="F190" s="1" t="s">
        <v>639</v>
      </c>
      <c r="G190" s="1" t="n">
        <f aca="false">+593984170810</f>
        <v>593984170810</v>
      </c>
      <c r="H190" s="1" t="s">
        <v>640</v>
      </c>
      <c r="I190" s="1" t="s">
        <v>24</v>
      </c>
      <c r="J190" s="1"/>
      <c r="K190" s="1" t="s">
        <v>641</v>
      </c>
      <c r="L190" s="1"/>
      <c r="M190" s="1"/>
      <c r="N190" s="1"/>
      <c r="O190" s="1"/>
      <c r="P190" s="6" t="s">
        <v>37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21.75" hidden="false" customHeight="true" outlineLevel="0" collapsed="false">
      <c r="A191" s="4" t="n">
        <v>43451</v>
      </c>
      <c r="B191" s="5" t="s">
        <v>415</v>
      </c>
      <c r="C191" s="1" t="s">
        <v>15</v>
      </c>
      <c r="D191" s="1" t="s">
        <v>43</v>
      </c>
      <c r="E191" s="1" t="s">
        <v>44</v>
      </c>
      <c r="F191" s="1" t="s">
        <v>642</v>
      </c>
      <c r="G191" s="1" t="n">
        <f aca="false">+593999344056</f>
        <v>593999344056</v>
      </c>
      <c r="H191" s="1" t="s">
        <v>643</v>
      </c>
      <c r="I191" s="1" t="s">
        <v>24</v>
      </c>
      <c r="J191" s="1"/>
      <c r="K191" s="1" t="s">
        <v>21</v>
      </c>
      <c r="L191" s="1" t="s">
        <v>21</v>
      </c>
      <c r="M191" s="1" t="s">
        <v>21</v>
      </c>
      <c r="N191" s="1" t="s">
        <v>21</v>
      </c>
      <c r="O191" s="1"/>
      <c r="P191" s="1" t="s">
        <v>21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21.75" hidden="false" customHeight="true" outlineLevel="0" collapsed="false">
      <c r="A192" s="4" t="n">
        <v>43451</v>
      </c>
      <c r="B192" s="5" t="s">
        <v>415</v>
      </c>
      <c r="C192" s="1" t="s">
        <v>15</v>
      </c>
      <c r="D192" s="1" t="s">
        <v>43</v>
      </c>
      <c r="E192" s="1" t="s">
        <v>44</v>
      </c>
      <c r="F192" s="1" t="s">
        <v>644</v>
      </c>
      <c r="G192" s="1" t="n">
        <f aca="false">+593990199017</f>
        <v>593990199017</v>
      </c>
      <c r="H192" s="1" t="s">
        <v>645</v>
      </c>
      <c r="I192" s="1" t="s">
        <v>24</v>
      </c>
      <c r="J192" s="1"/>
      <c r="K192" s="1" t="s">
        <v>646</v>
      </c>
      <c r="L192" s="1" t="s">
        <v>21</v>
      </c>
      <c r="M192" s="1" t="s">
        <v>21</v>
      </c>
      <c r="N192" s="1" t="s">
        <v>647</v>
      </c>
      <c r="O192" s="1"/>
      <c r="P192" s="6" t="s">
        <v>31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21.75" hidden="false" customHeight="true" outlineLevel="0" collapsed="false">
      <c r="A193" s="4" t="n">
        <v>43451</v>
      </c>
      <c r="B193" s="5" t="s">
        <v>415</v>
      </c>
      <c r="C193" s="1" t="s">
        <v>15</v>
      </c>
      <c r="D193" s="1" t="s">
        <v>43</v>
      </c>
      <c r="E193" s="1" t="s">
        <v>44</v>
      </c>
      <c r="F193" s="1" t="s">
        <v>648</v>
      </c>
      <c r="G193" s="1" t="n">
        <f aca="false">+593967199080</f>
        <v>593967199080</v>
      </c>
      <c r="H193" s="1" t="s">
        <v>649</v>
      </c>
      <c r="I193" s="1" t="s">
        <v>68</v>
      </c>
      <c r="J193" s="1"/>
      <c r="K193" s="1" t="s">
        <v>650</v>
      </c>
      <c r="L193" s="1" t="s">
        <v>21</v>
      </c>
      <c r="M193" s="1" t="s">
        <v>21</v>
      </c>
      <c r="N193" s="1" t="s">
        <v>21</v>
      </c>
      <c r="O193" s="1"/>
      <c r="P193" s="6" t="s">
        <v>21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21.75" hidden="false" customHeight="true" outlineLevel="0" collapsed="false">
      <c r="A194" s="4" t="n">
        <v>43451</v>
      </c>
      <c r="B194" s="5" t="s">
        <v>178</v>
      </c>
      <c r="C194" s="1" t="s">
        <v>15</v>
      </c>
      <c r="D194" s="1" t="s">
        <v>43</v>
      </c>
      <c r="E194" s="1" t="s">
        <v>44</v>
      </c>
      <c r="F194" s="1" t="s">
        <v>651</v>
      </c>
      <c r="G194" s="1" t="n">
        <f aca="false">+593982426290</f>
        <v>593982426290</v>
      </c>
      <c r="H194" s="1" t="s">
        <v>652</v>
      </c>
      <c r="I194" s="1" t="s">
        <v>47</v>
      </c>
      <c r="J194" s="1"/>
      <c r="K194" s="1" t="s">
        <v>21</v>
      </c>
      <c r="L194" s="1" t="s">
        <v>21</v>
      </c>
      <c r="M194" s="1" t="s">
        <v>21</v>
      </c>
      <c r="N194" s="1"/>
      <c r="O194" s="1"/>
      <c r="P194" s="1" t="s">
        <v>21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21.75" hidden="false" customHeight="true" outlineLevel="0" collapsed="false">
      <c r="A195" s="4" t="n">
        <v>43451</v>
      </c>
      <c r="B195" s="5" t="s">
        <v>178</v>
      </c>
      <c r="C195" s="1" t="s">
        <v>15</v>
      </c>
      <c r="D195" s="1" t="s">
        <v>43</v>
      </c>
      <c r="E195" s="1" t="s">
        <v>44</v>
      </c>
      <c r="F195" s="1" t="s">
        <v>653</v>
      </c>
      <c r="G195" s="1" t="n">
        <f aca="false">+593984482175</f>
        <v>593984482175</v>
      </c>
      <c r="H195" s="1" t="s">
        <v>654</v>
      </c>
      <c r="I195" s="1" t="s">
        <v>24</v>
      </c>
      <c r="J195" s="1"/>
      <c r="K195" s="1" t="s">
        <v>655</v>
      </c>
      <c r="L195" s="1"/>
      <c r="M195" s="1"/>
      <c r="N195" s="1"/>
      <c r="O195" s="1"/>
      <c r="P195" s="6" t="s">
        <v>31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21.75" hidden="false" customHeight="true" outlineLevel="0" collapsed="false">
      <c r="A196" s="4" t="n">
        <v>43451</v>
      </c>
      <c r="B196" s="5" t="s">
        <v>178</v>
      </c>
      <c r="C196" s="1" t="s">
        <v>15</v>
      </c>
      <c r="D196" s="1" t="s">
        <v>43</v>
      </c>
      <c r="E196" s="1" t="s">
        <v>44</v>
      </c>
      <c r="F196" s="1" t="s">
        <v>656</v>
      </c>
      <c r="G196" s="1" t="n">
        <f aca="false">+5930999279509</f>
        <v>5930999279509</v>
      </c>
      <c r="H196" s="1" t="s">
        <v>657</v>
      </c>
      <c r="I196" s="1" t="s">
        <v>658</v>
      </c>
      <c r="J196" s="1"/>
      <c r="K196" s="1" t="s">
        <v>21</v>
      </c>
      <c r="L196" s="1" t="s">
        <v>21</v>
      </c>
      <c r="M196" s="1" t="s">
        <v>21</v>
      </c>
      <c r="N196" s="1" t="s">
        <v>21</v>
      </c>
      <c r="O196" s="1"/>
      <c r="P196" s="6" t="s">
        <v>21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21.75" hidden="false" customHeight="true" outlineLevel="0" collapsed="false">
      <c r="A197" s="4" t="n">
        <v>43451</v>
      </c>
      <c r="B197" s="5" t="s">
        <v>178</v>
      </c>
      <c r="C197" s="1" t="s">
        <v>15</v>
      </c>
      <c r="D197" s="1" t="s">
        <v>43</v>
      </c>
      <c r="E197" s="1" t="s">
        <v>44</v>
      </c>
      <c r="F197" s="1" t="s">
        <v>659</v>
      </c>
      <c r="G197" s="1" t="n">
        <f aca="false">+5930969665876</f>
        <v>5930969665876</v>
      </c>
      <c r="H197" s="1" t="s">
        <v>660</v>
      </c>
      <c r="I197" s="1" t="s">
        <v>623</v>
      </c>
      <c r="J197" s="1"/>
      <c r="K197" s="1" t="s">
        <v>21</v>
      </c>
      <c r="L197" s="1" t="s">
        <v>661</v>
      </c>
      <c r="M197" s="1"/>
      <c r="N197" s="1"/>
      <c r="O197" s="1"/>
      <c r="P197" s="6" t="s">
        <v>126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21.75" hidden="false" customHeight="true" outlineLevel="0" collapsed="false">
      <c r="A198" s="4" t="n">
        <v>43451</v>
      </c>
      <c r="B198" s="5" t="s">
        <v>81</v>
      </c>
      <c r="C198" s="1" t="s">
        <v>15</v>
      </c>
      <c r="D198" s="1" t="s">
        <v>43</v>
      </c>
      <c r="E198" s="1" t="s">
        <v>44</v>
      </c>
      <c r="F198" s="1" t="s">
        <v>662</v>
      </c>
      <c r="G198" s="1" t="n">
        <f aca="false">+330990903873</f>
        <v>330990903873</v>
      </c>
      <c r="H198" s="1" t="s">
        <v>663</v>
      </c>
      <c r="I198" s="1" t="s">
        <v>664</v>
      </c>
      <c r="J198" s="1"/>
      <c r="K198" s="1" t="s">
        <v>21</v>
      </c>
      <c r="L198" s="1" t="s">
        <v>665</v>
      </c>
      <c r="M198" s="1"/>
      <c r="N198" s="1"/>
      <c r="O198" s="1"/>
      <c r="P198" s="6" t="s">
        <v>126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21.75" hidden="false" customHeight="true" outlineLevel="0" collapsed="false">
      <c r="A199" s="4" t="n">
        <v>43451</v>
      </c>
      <c r="B199" s="5" t="s">
        <v>81</v>
      </c>
      <c r="C199" s="1" t="s">
        <v>15</v>
      </c>
      <c r="D199" s="1" t="s">
        <v>43</v>
      </c>
      <c r="E199" s="1" t="s">
        <v>44</v>
      </c>
      <c r="F199" s="1" t="s">
        <v>666</v>
      </c>
      <c r="G199" s="1" t="n">
        <f aca="false">+5930987249965</f>
        <v>5930987249965</v>
      </c>
      <c r="H199" s="1" t="s">
        <v>667</v>
      </c>
      <c r="I199" s="1" t="s">
        <v>623</v>
      </c>
      <c r="J199" s="1"/>
      <c r="K199" s="1" t="s">
        <v>21</v>
      </c>
      <c r="L199" s="1" t="s">
        <v>21</v>
      </c>
      <c r="M199" s="1" t="s">
        <v>21</v>
      </c>
      <c r="N199" s="1" t="s">
        <v>21</v>
      </c>
      <c r="O199" s="1"/>
      <c r="P199" s="6" t="s">
        <v>21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21.75" hidden="false" customHeight="true" outlineLevel="0" collapsed="false">
      <c r="A200" s="4" t="n">
        <v>43451</v>
      </c>
      <c r="B200" s="5" t="s">
        <v>81</v>
      </c>
      <c r="C200" s="1" t="s">
        <v>15</v>
      </c>
      <c r="D200" s="1" t="s">
        <v>43</v>
      </c>
      <c r="E200" s="1" t="s">
        <v>44</v>
      </c>
      <c r="F200" s="1" t="s">
        <v>668</v>
      </c>
      <c r="G200" s="1" t="n">
        <f aca="false">+5930939202041</f>
        <v>5930939202041</v>
      </c>
      <c r="H200" s="1" t="s">
        <v>669</v>
      </c>
      <c r="I200" s="1" t="s">
        <v>623</v>
      </c>
      <c r="J200" s="1"/>
      <c r="K200" s="1" t="s">
        <v>21</v>
      </c>
      <c r="L200" s="1" t="s">
        <v>21</v>
      </c>
      <c r="M200" s="1" t="s">
        <v>670</v>
      </c>
      <c r="N200" s="1"/>
      <c r="O200" s="1"/>
      <c r="P200" s="6" t="s">
        <v>31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21.75" hidden="false" customHeight="true" outlineLevel="0" collapsed="false">
      <c r="A201" s="4" t="n">
        <v>43451</v>
      </c>
      <c r="B201" s="11" t="s">
        <v>286</v>
      </c>
      <c r="C201" s="1" t="s">
        <v>15</v>
      </c>
      <c r="D201" s="1" t="s">
        <v>16</v>
      </c>
      <c r="E201" s="1" t="s">
        <v>17</v>
      </c>
      <c r="F201" s="1" t="s">
        <v>671</v>
      </c>
      <c r="G201" s="1" t="n">
        <f aca="false">+593959877170</f>
        <v>593959877170</v>
      </c>
      <c r="H201" s="1" t="s">
        <v>672</v>
      </c>
      <c r="I201" s="5"/>
      <c r="J201" s="5"/>
      <c r="K201" s="1" t="s">
        <v>21</v>
      </c>
      <c r="L201" s="1" t="s">
        <v>21</v>
      </c>
      <c r="M201" s="1" t="s">
        <v>673</v>
      </c>
      <c r="N201" s="1"/>
      <c r="O201" s="1"/>
      <c r="P201" s="6" t="s">
        <v>341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21.75" hidden="false" customHeight="true" outlineLevel="0" collapsed="false">
      <c r="A202" s="4" t="n">
        <v>43451</v>
      </c>
      <c r="B202" s="5" t="s">
        <v>86</v>
      </c>
      <c r="C202" s="1" t="s">
        <v>15</v>
      </c>
      <c r="D202" s="1" t="s">
        <v>16</v>
      </c>
      <c r="E202" s="1" t="s">
        <v>17</v>
      </c>
      <c r="F202" s="1" t="s">
        <v>674</v>
      </c>
      <c r="G202" s="1" t="n">
        <f aca="false">+593992840230</f>
        <v>593992840230</v>
      </c>
      <c r="H202" s="1" t="s">
        <v>675</v>
      </c>
      <c r="I202" s="5"/>
      <c r="J202" s="5"/>
      <c r="K202" s="1" t="s">
        <v>170</v>
      </c>
      <c r="L202" s="1" t="s">
        <v>21</v>
      </c>
      <c r="M202" s="1"/>
      <c r="N202" s="1"/>
      <c r="O202" s="1"/>
      <c r="P202" s="6" t="s">
        <v>37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21.75" hidden="false" customHeight="true" outlineLevel="0" collapsed="false">
      <c r="A203" s="4" t="n">
        <v>43451</v>
      </c>
      <c r="B203" s="5" t="s">
        <v>86</v>
      </c>
      <c r="C203" s="1" t="s">
        <v>15</v>
      </c>
      <c r="D203" s="1" t="s">
        <v>16</v>
      </c>
      <c r="E203" s="1" t="s">
        <v>17</v>
      </c>
      <c r="F203" s="1" t="s">
        <v>676</v>
      </c>
      <c r="G203" s="1" t="n">
        <f aca="false">+5930959054745</f>
        <v>5930959054745</v>
      </c>
      <c r="H203" s="1" t="s">
        <v>677</v>
      </c>
      <c r="I203" s="5"/>
      <c r="J203" s="5"/>
      <c r="K203" s="1" t="s">
        <v>678</v>
      </c>
      <c r="L203" s="1" t="s">
        <v>679</v>
      </c>
      <c r="M203" s="1"/>
      <c r="N203" s="1"/>
      <c r="O203" s="1"/>
      <c r="P203" s="6" t="s">
        <v>37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21.75" hidden="false" customHeight="true" outlineLevel="0" collapsed="false">
      <c r="A204" s="4" t="n">
        <v>43451</v>
      </c>
      <c r="B204" s="5" t="s">
        <v>86</v>
      </c>
      <c r="C204" s="1" t="s">
        <v>15</v>
      </c>
      <c r="D204" s="1" t="s">
        <v>16</v>
      </c>
      <c r="E204" s="1" t="s">
        <v>17</v>
      </c>
      <c r="F204" s="1" t="s">
        <v>680</v>
      </c>
      <c r="G204" s="1" t="n">
        <f aca="false">+593994203747</f>
        <v>593994203747</v>
      </c>
      <c r="H204" s="1" t="s">
        <v>681</v>
      </c>
      <c r="I204" s="5"/>
      <c r="J204" s="5"/>
      <c r="K204" s="1" t="s">
        <v>21</v>
      </c>
      <c r="L204" s="1" t="s">
        <v>21</v>
      </c>
      <c r="M204" s="1" t="s">
        <v>21</v>
      </c>
      <c r="N204" s="1"/>
      <c r="O204" s="1"/>
      <c r="P204" s="1" t="s">
        <v>21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21.75" hidden="false" customHeight="true" outlineLevel="0" collapsed="false">
      <c r="A205" s="4" t="n">
        <v>43451</v>
      </c>
      <c r="B205" s="5" t="s">
        <v>86</v>
      </c>
      <c r="C205" s="1" t="s">
        <v>15</v>
      </c>
      <c r="D205" s="1" t="s">
        <v>16</v>
      </c>
      <c r="E205" s="1" t="s">
        <v>17</v>
      </c>
      <c r="F205" s="1" t="s">
        <v>682</v>
      </c>
      <c r="G205" s="1" t="n">
        <f aca="false">+593985744508</f>
        <v>593985744508</v>
      </c>
      <c r="H205" s="1" t="s">
        <v>683</v>
      </c>
      <c r="I205" s="5"/>
      <c r="J205" s="5"/>
      <c r="K205" s="1" t="s">
        <v>21</v>
      </c>
      <c r="L205" s="1" t="s">
        <v>684</v>
      </c>
      <c r="M205" s="1"/>
      <c r="N205" s="1"/>
      <c r="O205" s="1"/>
      <c r="P205" s="6" t="s">
        <v>31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21.75" hidden="false" customHeight="true" outlineLevel="0" collapsed="false">
      <c r="A206" s="4" t="n">
        <v>43451</v>
      </c>
      <c r="B206" s="5" t="s">
        <v>86</v>
      </c>
      <c r="C206" s="1" t="s">
        <v>15</v>
      </c>
      <c r="D206" s="1" t="s">
        <v>16</v>
      </c>
      <c r="E206" s="1" t="s">
        <v>17</v>
      </c>
      <c r="F206" s="1" t="s">
        <v>685</v>
      </c>
      <c r="G206" s="1" t="n">
        <f aca="false">+593985485668</f>
        <v>593985485668</v>
      </c>
      <c r="H206" s="1" t="s">
        <v>686</v>
      </c>
      <c r="I206" s="5"/>
      <c r="J206" s="5"/>
      <c r="K206" s="1" t="s">
        <v>687</v>
      </c>
      <c r="L206" s="1" t="s">
        <v>21</v>
      </c>
      <c r="M206" s="1"/>
      <c r="N206" s="1"/>
      <c r="O206" s="1"/>
      <c r="P206" s="6" t="s">
        <v>21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21.75" hidden="false" customHeight="true" outlineLevel="0" collapsed="false">
      <c r="A207" s="4" t="n">
        <v>43451</v>
      </c>
      <c r="B207" s="5" t="s">
        <v>86</v>
      </c>
      <c r="C207" s="1" t="s">
        <v>15</v>
      </c>
      <c r="D207" s="1" t="s">
        <v>16</v>
      </c>
      <c r="E207" s="1" t="s">
        <v>17</v>
      </c>
      <c r="F207" s="1" t="s">
        <v>688</v>
      </c>
      <c r="G207" s="1" t="n">
        <f aca="false">+593959076414</f>
        <v>593959076414</v>
      </c>
      <c r="H207" s="1" t="s">
        <v>689</v>
      </c>
      <c r="I207" s="5"/>
      <c r="J207" s="5"/>
      <c r="K207" s="1" t="s">
        <v>690</v>
      </c>
      <c r="L207" s="1" t="s">
        <v>21</v>
      </c>
      <c r="M207" s="1"/>
      <c r="N207" s="1"/>
      <c r="O207" s="1"/>
      <c r="P207" s="6" t="s">
        <v>21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21.75" hidden="false" customHeight="true" outlineLevel="0" collapsed="false">
      <c r="A208" s="4" t="n">
        <v>43451</v>
      </c>
      <c r="B208" s="5" t="s">
        <v>301</v>
      </c>
      <c r="C208" s="1" t="s">
        <v>15</v>
      </c>
      <c r="D208" s="1" t="s">
        <v>16</v>
      </c>
      <c r="E208" s="1" t="s">
        <v>17</v>
      </c>
      <c r="F208" s="1" t="s">
        <v>624</v>
      </c>
      <c r="G208" s="1" t="n">
        <f aca="false">+593992997544</f>
        <v>593992997544</v>
      </c>
      <c r="H208" s="1" t="s">
        <v>625</v>
      </c>
      <c r="I208" s="5"/>
      <c r="J208" s="5"/>
      <c r="K208" s="1" t="s">
        <v>21</v>
      </c>
      <c r="L208" s="1" t="s">
        <v>691</v>
      </c>
      <c r="M208" s="1"/>
      <c r="N208" s="1"/>
      <c r="O208" s="1"/>
      <c r="P208" s="6" t="s">
        <v>31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21.75" hidden="false" customHeight="true" outlineLevel="0" collapsed="false">
      <c r="A209" s="4" t="n">
        <v>43452</v>
      </c>
      <c r="B209" s="8" t="s">
        <v>42</v>
      </c>
      <c r="C209" s="1" t="s">
        <v>15</v>
      </c>
      <c r="D209" s="1" t="s">
        <v>43</v>
      </c>
      <c r="E209" s="1" t="s">
        <v>109</v>
      </c>
      <c r="F209" s="16" t="s">
        <v>243</v>
      </c>
      <c r="G209" s="17" t="n">
        <v>987347607</v>
      </c>
      <c r="H209" s="17" t="s">
        <v>244</v>
      </c>
      <c r="I209" s="1"/>
      <c r="J209" s="1"/>
      <c r="K209" s="1" t="s">
        <v>692</v>
      </c>
      <c r="L209" s="1"/>
      <c r="M209" s="1"/>
      <c r="N209" s="1"/>
      <c r="O209" s="1"/>
      <c r="P209" s="6" t="s">
        <v>133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21.75" hidden="false" customHeight="true" outlineLevel="0" collapsed="false">
      <c r="A210" s="4" t="n">
        <v>43452</v>
      </c>
      <c r="B210" s="5" t="s">
        <v>48</v>
      </c>
      <c r="C210" s="1" t="s">
        <v>26</v>
      </c>
      <c r="D210" s="1" t="s">
        <v>43</v>
      </c>
      <c r="E210" s="1" t="s">
        <v>44</v>
      </c>
      <c r="F210" s="1" t="s">
        <v>693</v>
      </c>
      <c r="G210" s="1" t="n">
        <f aca="false">+593993083792</f>
        <v>593993083792</v>
      </c>
      <c r="H210" s="1" t="s">
        <v>694</v>
      </c>
      <c r="I210" s="1" t="s">
        <v>68</v>
      </c>
      <c r="J210" s="1"/>
      <c r="K210" s="1" t="s">
        <v>21</v>
      </c>
      <c r="L210" s="1" t="s">
        <v>21</v>
      </c>
      <c r="M210" s="1" t="s">
        <v>21</v>
      </c>
      <c r="N210" s="1" t="s">
        <v>695</v>
      </c>
      <c r="O210" s="1"/>
      <c r="P210" s="6" t="s">
        <v>31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21.75" hidden="false" customHeight="true" outlineLevel="0" collapsed="false">
      <c r="A211" s="4" t="n">
        <v>43452</v>
      </c>
      <c r="B211" s="5" t="s">
        <v>48</v>
      </c>
      <c r="C211" s="1" t="s">
        <v>15</v>
      </c>
      <c r="D211" s="1" t="s">
        <v>43</v>
      </c>
      <c r="E211" s="1" t="s">
        <v>44</v>
      </c>
      <c r="F211" s="1" t="s">
        <v>696</v>
      </c>
      <c r="G211" s="1" t="n">
        <f aca="false">+593992802787</f>
        <v>593992802787</v>
      </c>
      <c r="H211" s="1" t="s">
        <v>697</v>
      </c>
      <c r="I211" s="1" t="s">
        <v>24</v>
      </c>
      <c r="J211" s="1"/>
      <c r="K211" s="1" t="s">
        <v>698</v>
      </c>
      <c r="L211" s="1"/>
      <c r="M211" s="1"/>
      <c r="N211" s="1"/>
      <c r="O211" s="1"/>
      <c r="P211" s="6" t="s">
        <v>37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21.75" hidden="false" customHeight="true" outlineLevel="0" collapsed="false">
      <c r="A212" s="4" t="n">
        <v>43452</v>
      </c>
      <c r="B212" s="5" t="s">
        <v>48</v>
      </c>
      <c r="C212" s="1" t="s">
        <v>15</v>
      </c>
      <c r="D212" s="1" t="s">
        <v>43</v>
      </c>
      <c r="E212" s="1" t="s">
        <v>44</v>
      </c>
      <c r="F212" s="1" t="s">
        <v>699</v>
      </c>
      <c r="G212" s="1" t="n">
        <f aca="false">+5930996483306</f>
        <v>5930996483306</v>
      </c>
      <c r="H212" s="1" t="s">
        <v>700</v>
      </c>
      <c r="I212" s="1" t="s">
        <v>24</v>
      </c>
      <c r="J212" s="1"/>
      <c r="K212" s="1" t="s">
        <v>701</v>
      </c>
      <c r="L212" s="1" t="s">
        <v>21</v>
      </c>
      <c r="M212" s="1" t="s">
        <v>21</v>
      </c>
      <c r="N212" s="1" t="s">
        <v>21</v>
      </c>
      <c r="O212" s="1"/>
      <c r="P212" s="6" t="s">
        <v>21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21.75" hidden="false" customHeight="true" outlineLevel="0" collapsed="false">
      <c r="A213" s="4" t="n">
        <v>43452</v>
      </c>
      <c r="B213" s="5" t="s">
        <v>48</v>
      </c>
      <c r="C213" s="1" t="s">
        <v>15</v>
      </c>
      <c r="D213" s="1" t="s">
        <v>43</v>
      </c>
      <c r="E213" s="1" t="s">
        <v>44</v>
      </c>
      <c r="F213" s="9" t="s">
        <v>702</v>
      </c>
      <c r="G213" s="5" t="n">
        <v>992802787</v>
      </c>
      <c r="H213" s="5" t="s">
        <v>697</v>
      </c>
      <c r="I213" s="5"/>
      <c r="J213" s="1"/>
      <c r="K213" s="1" t="s">
        <v>428</v>
      </c>
      <c r="L213" s="1"/>
      <c r="M213" s="1"/>
      <c r="N213" s="1"/>
      <c r="O213" s="1"/>
      <c r="P213" s="6" t="s">
        <v>31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21.75" hidden="false" customHeight="true" outlineLevel="0" collapsed="false">
      <c r="A214" s="4" t="n">
        <v>43452</v>
      </c>
      <c r="B214" s="5" t="s">
        <v>48</v>
      </c>
      <c r="C214" s="1" t="s">
        <v>15</v>
      </c>
      <c r="D214" s="1" t="s">
        <v>43</v>
      </c>
      <c r="E214" s="1" t="s">
        <v>109</v>
      </c>
      <c r="F214" s="9" t="s">
        <v>703</v>
      </c>
      <c r="G214" s="5" t="n">
        <v>995186485</v>
      </c>
      <c r="H214" s="5"/>
      <c r="I214" s="5"/>
      <c r="J214" s="1"/>
      <c r="K214" s="1" t="s">
        <v>704</v>
      </c>
      <c r="L214" s="1"/>
      <c r="M214" s="1"/>
      <c r="N214" s="1"/>
      <c r="O214" s="1"/>
      <c r="P214" s="6" t="s">
        <v>126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21.75" hidden="false" customHeight="true" outlineLevel="0" collapsed="false">
      <c r="A215" s="4" t="n">
        <v>43452</v>
      </c>
      <c r="B215" s="18" t="s">
        <v>48</v>
      </c>
      <c r="C215" s="14" t="s">
        <v>15</v>
      </c>
      <c r="D215" s="14" t="s">
        <v>43</v>
      </c>
      <c r="E215" s="14" t="s">
        <v>109</v>
      </c>
      <c r="F215" s="19" t="s">
        <v>705</v>
      </c>
      <c r="G215" s="18" t="n">
        <v>980106069</v>
      </c>
      <c r="H215" s="18" t="s">
        <v>706</v>
      </c>
      <c r="I215" s="18"/>
      <c r="J215" s="1"/>
      <c r="K215" s="1" t="s">
        <v>21</v>
      </c>
      <c r="L215" s="1" t="s">
        <v>707</v>
      </c>
      <c r="M215" s="1"/>
      <c r="N215" s="1"/>
      <c r="O215" s="1"/>
      <c r="P215" s="6" t="s">
        <v>31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21.75" hidden="false" customHeight="true" outlineLevel="0" collapsed="false">
      <c r="A216" s="4" t="n">
        <v>43452</v>
      </c>
      <c r="B216" s="5" t="s">
        <v>127</v>
      </c>
      <c r="C216" s="1" t="s">
        <v>15</v>
      </c>
      <c r="D216" s="1" t="s">
        <v>43</v>
      </c>
      <c r="E216" s="1" t="s">
        <v>44</v>
      </c>
      <c r="F216" s="1" t="s">
        <v>708</v>
      </c>
      <c r="G216" s="1" t="n">
        <f aca="false">+5930998129243</f>
        <v>5930998129243</v>
      </c>
      <c r="H216" s="1" t="s">
        <v>709</v>
      </c>
      <c r="I216" s="1" t="s">
        <v>211</v>
      </c>
      <c r="J216" s="1"/>
      <c r="K216" s="1" t="s">
        <v>710</v>
      </c>
      <c r="L216" s="1" t="s">
        <v>21</v>
      </c>
      <c r="M216" s="1" t="s">
        <v>711</v>
      </c>
      <c r="N216" s="1"/>
      <c r="O216" s="1"/>
      <c r="P216" s="6" t="s">
        <v>31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21.75" hidden="false" customHeight="true" outlineLevel="0" collapsed="false">
      <c r="A217" s="4" t="n">
        <v>43452</v>
      </c>
      <c r="B217" s="5" t="s">
        <v>127</v>
      </c>
      <c r="C217" s="1" t="s">
        <v>15</v>
      </c>
      <c r="D217" s="1" t="s">
        <v>43</v>
      </c>
      <c r="E217" s="1" t="s">
        <v>44</v>
      </c>
      <c r="F217" s="1" t="s">
        <v>712</v>
      </c>
      <c r="G217" s="1" t="n">
        <f aca="false">+593985543777</f>
        <v>593985543777</v>
      </c>
      <c r="H217" s="1" t="s">
        <v>713</v>
      </c>
      <c r="I217" s="1" t="s">
        <v>68</v>
      </c>
      <c r="J217" s="1"/>
      <c r="K217" s="1" t="s">
        <v>21</v>
      </c>
      <c r="L217" s="1" t="s">
        <v>714</v>
      </c>
      <c r="M217" s="1"/>
      <c r="N217" s="1"/>
      <c r="O217" s="1"/>
      <c r="P217" s="6" t="s">
        <v>37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21.75" hidden="false" customHeight="true" outlineLevel="0" collapsed="false">
      <c r="A218" s="4" t="n">
        <v>43452</v>
      </c>
      <c r="B218" s="18" t="s">
        <v>127</v>
      </c>
      <c r="C218" s="14" t="s">
        <v>15</v>
      </c>
      <c r="D218" s="14" t="s">
        <v>43</v>
      </c>
      <c r="E218" s="14" t="s">
        <v>109</v>
      </c>
      <c r="F218" s="18" t="s">
        <v>715</v>
      </c>
      <c r="G218" s="18" t="n">
        <v>979178209</v>
      </c>
      <c r="H218" s="14" t="s">
        <v>716</v>
      </c>
      <c r="I218" s="1"/>
      <c r="J218" s="1"/>
      <c r="K218" s="1" t="s">
        <v>21</v>
      </c>
      <c r="L218" s="1" t="s">
        <v>21</v>
      </c>
      <c r="M218" s="1" t="s">
        <v>21</v>
      </c>
      <c r="N218" s="1" t="s">
        <v>21</v>
      </c>
      <c r="O218" s="1"/>
      <c r="P218" s="1" t="s">
        <v>21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21.75" hidden="false" customHeight="true" outlineLevel="0" collapsed="false">
      <c r="A219" s="4" t="n">
        <v>43452</v>
      </c>
      <c r="B219" s="18" t="s">
        <v>127</v>
      </c>
      <c r="C219" s="14" t="s">
        <v>15</v>
      </c>
      <c r="D219" s="14" t="s">
        <v>43</v>
      </c>
      <c r="E219" s="14" t="s">
        <v>109</v>
      </c>
      <c r="F219" s="19" t="s">
        <v>717</v>
      </c>
      <c r="G219" s="18" t="n">
        <v>994225200</v>
      </c>
      <c r="H219" s="18" t="s">
        <v>718</v>
      </c>
      <c r="I219" s="18"/>
      <c r="J219" s="1"/>
      <c r="K219" s="1" t="s">
        <v>719</v>
      </c>
      <c r="L219" s="1" t="s">
        <v>720</v>
      </c>
      <c r="M219" s="1"/>
      <c r="N219" s="1"/>
      <c r="O219" s="1"/>
      <c r="P219" s="6" t="s">
        <v>31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21.75" hidden="false" customHeight="true" outlineLevel="0" collapsed="false">
      <c r="A220" s="4" t="n">
        <v>43452</v>
      </c>
      <c r="B220" s="5" t="s">
        <v>415</v>
      </c>
      <c r="C220" s="1" t="s">
        <v>15</v>
      </c>
      <c r="D220" s="1" t="s">
        <v>43</v>
      </c>
      <c r="E220" s="1" t="s">
        <v>44</v>
      </c>
      <c r="F220" s="1" t="s">
        <v>721</v>
      </c>
      <c r="G220" s="1" t="n">
        <f aca="false">+593998742680</f>
        <v>593998742680</v>
      </c>
      <c r="H220" s="1" t="s">
        <v>722</v>
      </c>
      <c r="I220" s="1" t="s">
        <v>24</v>
      </c>
      <c r="J220" s="1"/>
      <c r="K220" s="1" t="s">
        <v>21</v>
      </c>
      <c r="L220" s="1" t="s">
        <v>560</v>
      </c>
      <c r="M220" s="1"/>
      <c r="N220" s="1"/>
      <c r="O220" s="1"/>
      <c r="P220" s="6" t="s">
        <v>31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21.75" hidden="false" customHeight="true" outlineLevel="0" collapsed="false">
      <c r="A221" s="4" t="n">
        <v>43452</v>
      </c>
      <c r="B221" s="5" t="s">
        <v>81</v>
      </c>
      <c r="C221" s="1" t="s">
        <v>15</v>
      </c>
      <c r="D221" s="1" t="s">
        <v>43</v>
      </c>
      <c r="E221" s="1" t="s">
        <v>44</v>
      </c>
      <c r="F221" s="1" t="s">
        <v>723</v>
      </c>
      <c r="G221" s="1" t="n">
        <f aca="false">+5930998546679</f>
        <v>5930998546679</v>
      </c>
      <c r="H221" s="1" t="s">
        <v>724</v>
      </c>
      <c r="I221" s="1" t="s">
        <v>24</v>
      </c>
      <c r="J221" s="1"/>
      <c r="K221" s="1" t="s">
        <v>21</v>
      </c>
      <c r="L221" s="1" t="s">
        <v>21</v>
      </c>
      <c r="M221" s="1" t="s">
        <v>21</v>
      </c>
      <c r="N221" s="1" t="s">
        <v>21</v>
      </c>
      <c r="O221" s="1"/>
      <c r="P221" s="6" t="s">
        <v>21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21.75" hidden="false" customHeight="true" outlineLevel="0" collapsed="false">
      <c r="A222" s="4" t="n">
        <v>43453</v>
      </c>
      <c r="B222" s="18" t="s">
        <v>48</v>
      </c>
      <c r="C222" s="14" t="s">
        <v>15</v>
      </c>
      <c r="D222" s="14" t="s">
        <v>43</v>
      </c>
      <c r="E222" s="14" t="s">
        <v>44</v>
      </c>
      <c r="F222" s="14" t="s">
        <v>725</v>
      </c>
      <c r="G222" s="14" t="n">
        <f aca="false">+593993619012</f>
        <v>593993619012</v>
      </c>
      <c r="H222" s="14" t="s">
        <v>726</v>
      </c>
      <c r="I222" s="14" t="s">
        <v>391</v>
      </c>
      <c r="J222" s="14"/>
      <c r="K222" s="1" t="s">
        <v>21</v>
      </c>
      <c r="L222" s="1" t="s">
        <v>21</v>
      </c>
      <c r="M222" s="1" t="s">
        <v>21</v>
      </c>
      <c r="N222" s="1" t="s">
        <v>21</v>
      </c>
      <c r="O222" s="1" t="s">
        <v>727</v>
      </c>
      <c r="P222" s="6" t="s">
        <v>133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21.75" hidden="false" customHeight="true" outlineLevel="0" collapsed="false">
      <c r="A223" s="4" t="n">
        <v>43453</v>
      </c>
      <c r="B223" s="18" t="s">
        <v>48</v>
      </c>
      <c r="C223" s="14" t="s">
        <v>26</v>
      </c>
      <c r="D223" s="14" t="s">
        <v>43</v>
      </c>
      <c r="E223" s="14" t="s">
        <v>44</v>
      </c>
      <c r="F223" s="14" t="s">
        <v>728</v>
      </c>
      <c r="G223" s="14" t="n">
        <f aca="false">+593998139409</f>
        <v>593998139409</v>
      </c>
      <c r="H223" s="14" t="s">
        <v>729</v>
      </c>
      <c r="I223" s="14" t="s">
        <v>730</v>
      </c>
      <c r="J223" s="14"/>
      <c r="K223" s="1" t="s">
        <v>731</v>
      </c>
      <c r="L223" s="1"/>
      <c r="M223" s="1"/>
      <c r="N223" s="1"/>
      <c r="O223" s="1"/>
      <c r="P223" s="6" t="s">
        <v>419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21.75" hidden="false" customHeight="true" outlineLevel="0" collapsed="false">
      <c r="A224" s="4" t="n">
        <v>43453</v>
      </c>
      <c r="B224" s="18" t="s">
        <v>48</v>
      </c>
      <c r="C224" s="14" t="s">
        <v>15</v>
      </c>
      <c r="D224" s="14" t="s">
        <v>43</v>
      </c>
      <c r="E224" s="14" t="s">
        <v>44</v>
      </c>
      <c r="F224" s="14" t="s">
        <v>732</v>
      </c>
      <c r="G224" s="20" t="n">
        <v>5930967505097</v>
      </c>
      <c r="H224" s="14" t="s">
        <v>733</v>
      </c>
      <c r="I224" s="14" t="s">
        <v>563</v>
      </c>
      <c r="J224" s="14"/>
      <c r="K224" s="1" t="s">
        <v>21</v>
      </c>
      <c r="L224" s="1" t="s">
        <v>21</v>
      </c>
      <c r="M224" s="1" t="s">
        <v>21</v>
      </c>
      <c r="N224" s="1" t="s">
        <v>21</v>
      </c>
      <c r="O224" s="1" t="s">
        <v>21</v>
      </c>
      <c r="P224" s="1" t="s">
        <v>21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21.75" hidden="false" customHeight="true" outlineLevel="0" collapsed="false">
      <c r="A225" s="4" t="n">
        <v>43453</v>
      </c>
      <c r="B225" s="18" t="s">
        <v>48</v>
      </c>
      <c r="C225" s="14" t="s">
        <v>26</v>
      </c>
      <c r="D225" s="14" t="s">
        <v>43</v>
      </c>
      <c r="E225" s="14" t="s">
        <v>44</v>
      </c>
      <c r="F225" s="14" t="s">
        <v>734</v>
      </c>
      <c r="G225" s="14" t="n">
        <f aca="false">+593989411752</f>
        <v>593989411752</v>
      </c>
      <c r="H225" s="14" t="s">
        <v>735</v>
      </c>
      <c r="I225" s="14" t="s">
        <v>736</v>
      </c>
      <c r="J225" s="14"/>
      <c r="K225" s="1" t="s">
        <v>21</v>
      </c>
      <c r="L225" s="1" t="s">
        <v>164</v>
      </c>
      <c r="M225" s="1" t="s">
        <v>590</v>
      </c>
      <c r="N225" s="1" t="s">
        <v>21</v>
      </c>
      <c r="O225" s="1" t="s">
        <v>21</v>
      </c>
      <c r="P225" s="6" t="s">
        <v>21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21.75" hidden="false" customHeight="true" outlineLevel="0" collapsed="false">
      <c r="A226" s="4" t="n">
        <v>43453</v>
      </c>
      <c r="B226" s="18" t="s">
        <v>48</v>
      </c>
      <c r="C226" s="14" t="s">
        <v>26</v>
      </c>
      <c r="D226" s="14" t="s">
        <v>43</v>
      </c>
      <c r="E226" s="14" t="s">
        <v>44</v>
      </c>
      <c r="F226" s="14" t="s">
        <v>737</v>
      </c>
      <c r="G226" s="14" t="n">
        <f aca="false">+5930999864683</f>
        <v>5930999864683</v>
      </c>
      <c r="H226" s="14" t="s">
        <v>738</v>
      </c>
      <c r="I226" s="14" t="s">
        <v>254</v>
      </c>
      <c r="J226" s="14"/>
      <c r="K226" s="1" t="s">
        <v>739</v>
      </c>
      <c r="L226" s="1" t="s">
        <v>21</v>
      </c>
      <c r="M226" s="1" t="s">
        <v>740</v>
      </c>
      <c r="N226" s="1"/>
      <c r="O226" s="1"/>
      <c r="P226" s="6" t="s">
        <v>31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21.75" hidden="false" customHeight="true" outlineLevel="0" collapsed="false">
      <c r="A227" s="4" t="n">
        <v>43453</v>
      </c>
      <c r="B227" s="18" t="s">
        <v>48</v>
      </c>
      <c r="C227" s="14" t="s">
        <v>15</v>
      </c>
      <c r="D227" s="14" t="s">
        <v>43</v>
      </c>
      <c r="E227" s="14" t="s">
        <v>44</v>
      </c>
      <c r="F227" s="14" t="s">
        <v>741</v>
      </c>
      <c r="G227" s="14" t="n">
        <f aca="false">+593998513419</f>
        <v>593998513419</v>
      </c>
      <c r="H227" s="14" t="s">
        <v>742</v>
      </c>
      <c r="I227" s="14" t="s">
        <v>743</v>
      </c>
      <c r="J227" s="14"/>
      <c r="K227" s="1" t="s">
        <v>744</v>
      </c>
      <c r="L227" s="1" t="s">
        <v>21</v>
      </c>
      <c r="M227" s="1" t="s">
        <v>745</v>
      </c>
      <c r="N227" s="1" t="s">
        <v>746</v>
      </c>
      <c r="O227" s="1"/>
      <c r="P227" s="6" t="s">
        <v>747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21.75" hidden="false" customHeight="true" outlineLevel="0" collapsed="false">
      <c r="A228" s="21" t="n">
        <v>43453</v>
      </c>
      <c r="B228" s="22" t="s">
        <v>127</v>
      </c>
      <c r="C228" s="23" t="s">
        <v>15</v>
      </c>
      <c r="D228" s="23" t="s">
        <v>43</v>
      </c>
      <c r="E228" s="23" t="s">
        <v>109</v>
      </c>
      <c r="F228" s="24" t="s">
        <v>717</v>
      </c>
      <c r="G228" s="22" t="n">
        <v>994225200</v>
      </c>
      <c r="H228" s="22" t="s">
        <v>718</v>
      </c>
      <c r="I228" s="1"/>
      <c r="J228" s="1"/>
      <c r="K228" s="1" t="s">
        <v>21</v>
      </c>
      <c r="L228" s="1" t="s">
        <v>228</v>
      </c>
      <c r="M228" s="1"/>
      <c r="N228" s="1"/>
      <c r="O228" s="1"/>
      <c r="P228" s="6" t="s">
        <v>31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21.75" hidden="false" customHeight="true" outlineLevel="0" collapsed="false">
      <c r="A229" s="4" t="n">
        <v>43454</v>
      </c>
      <c r="B229" s="8" t="s">
        <v>42</v>
      </c>
      <c r="C229" s="14" t="s">
        <v>15</v>
      </c>
      <c r="D229" s="14" t="s">
        <v>43</v>
      </c>
      <c r="E229" s="14" t="s">
        <v>44</v>
      </c>
      <c r="F229" s="14" t="s">
        <v>748</v>
      </c>
      <c r="G229" s="14" t="n">
        <f aca="false">+593979795822</f>
        <v>593979795822</v>
      </c>
      <c r="H229" s="14" t="s">
        <v>749</v>
      </c>
      <c r="I229" s="14" t="s">
        <v>330</v>
      </c>
      <c r="J229" s="14"/>
      <c r="K229" s="1" t="s">
        <v>21</v>
      </c>
      <c r="L229" s="1" t="s">
        <v>35</v>
      </c>
      <c r="M229" s="1" t="s">
        <v>750</v>
      </c>
      <c r="N229" s="1"/>
      <c r="O229" s="1"/>
      <c r="P229" s="6" t="s">
        <v>751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21.75" hidden="false" customHeight="true" outlineLevel="0" collapsed="false">
      <c r="A230" s="4" t="n">
        <v>43454</v>
      </c>
      <c r="B230" s="18" t="s">
        <v>48</v>
      </c>
      <c r="C230" s="14" t="s">
        <v>15</v>
      </c>
      <c r="D230" s="14" t="s">
        <v>43</v>
      </c>
      <c r="E230" s="14" t="s">
        <v>44</v>
      </c>
      <c r="F230" s="14" t="s">
        <v>752</v>
      </c>
      <c r="G230" s="14" t="n">
        <f aca="false">+593969617891</f>
        <v>593969617891</v>
      </c>
      <c r="H230" s="14" t="s">
        <v>753</v>
      </c>
      <c r="I230" s="14" t="s">
        <v>512</v>
      </c>
      <c r="J230" s="14"/>
      <c r="K230" s="1" t="s">
        <v>21</v>
      </c>
      <c r="L230" s="1" t="s">
        <v>21</v>
      </c>
      <c r="M230" s="1" t="s">
        <v>21</v>
      </c>
      <c r="N230" s="1" t="s">
        <v>21</v>
      </c>
      <c r="O230" s="1"/>
      <c r="P230" s="1" t="s">
        <v>21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21.75" hidden="false" customHeight="true" outlineLevel="0" collapsed="false">
      <c r="A231" s="4" t="n">
        <v>43454</v>
      </c>
      <c r="B231" s="18" t="s">
        <v>48</v>
      </c>
      <c r="C231" s="14" t="s">
        <v>15</v>
      </c>
      <c r="D231" s="14" t="s">
        <v>43</v>
      </c>
      <c r="E231" s="14" t="s">
        <v>44</v>
      </c>
      <c r="F231" s="14" t="s">
        <v>754</v>
      </c>
      <c r="G231" s="14" t="n">
        <f aca="false">+5930990796810</f>
        <v>5930990796810</v>
      </c>
      <c r="H231" s="14" t="s">
        <v>755</v>
      </c>
      <c r="I231" s="14" t="s">
        <v>756</v>
      </c>
      <c r="J231" s="14"/>
      <c r="K231" s="1" t="s">
        <v>21</v>
      </c>
      <c r="L231" s="1" t="s">
        <v>21</v>
      </c>
      <c r="M231" s="1" t="s">
        <v>21</v>
      </c>
      <c r="N231" s="1" t="s">
        <v>21</v>
      </c>
      <c r="O231" s="1"/>
      <c r="P231" s="6" t="s">
        <v>21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21.75" hidden="false" customHeight="true" outlineLevel="0" collapsed="false">
      <c r="A232" s="4" t="n">
        <v>43454</v>
      </c>
      <c r="B232" s="18" t="s">
        <v>48</v>
      </c>
      <c r="C232" s="14" t="s">
        <v>15</v>
      </c>
      <c r="D232" s="14" t="s">
        <v>43</v>
      </c>
      <c r="E232" s="14" t="s">
        <v>44</v>
      </c>
      <c r="F232" s="14" t="s">
        <v>757</v>
      </c>
      <c r="G232" s="14" t="n">
        <f aca="false">+32499157672</f>
        <v>32499157672</v>
      </c>
      <c r="H232" s="14" t="s">
        <v>758</v>
      </c>
      <c r="I232" s="14" t="s">
        <v>759</v>
      </c>
      <c r="J232" s="14"/>
      <c r="K232" s="1" t="s">
        <v>760</v>
      </c>
      <c r="L232" s="1"/>
      <c r="M232" s="1"/>
      <c r="N232" s="1"/>
      <c r="O232" s="1"/>
      <c r="P232" s="6" t="s">
        <v>341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21.75" hidden="false" customHeight="true" outlineLevel="0" collapsed="false">
      <c r="A233" s="4" t="n">
        <v>43454</v>
      </c>
      <c r="B233" s="18" t="s">
        <v>48</v>
      </c>
      <c r="C233" s="14" t="s">
        <v>15</v>
      </c>
      <c r="D233" s="14" t="s">
        <v>43</v>
      </c>
      <c r="E233" s="14" t="s">
        <v>44</v>
      </c>
      <c r="F233" s="14" t="s">
        <v>761</v>
      </c>
      <c r="G233" s="14" t="n">
        <f aca="false">+5930984464757</f>
        <v>5930984464757</v>
      </c>
      <c r="H233" s="14" t="s">
        <v>762</v>
      </c>
      <c r="I233" s="14" t="s">
        <v>563</v>
      </c>
      <c r="J233" s="14"/>
      <c r="K233" s="1" t="s">
        <v>21</v>
      </c>
      <c r="L233" s="1" t="s">
        <v>21</v>
      </c>
      <c r="M233" s="1" t="s">
        <v>21</v>
      </c>
      <c r="N233" s="1" t="s">
        <v>21</v>
      </c>
      <c r="O233" s="1"/>
      <c r="P233" s="6" t="s">
        <v>21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21.75" hidden="false" customHeight="true" outlineLevel="0" collapsed="false">
      <c r="A234" s="4" t="n">
        <v>43454</v>
      </c>
      <c r="B234" s="18" t="s">
        <v>48</v>
      </c>
      <c r="C234" s="14" t="s">
        <v>26</v>
      </c>
      <c r="D234" s="14" t="s">
        <v>43</v>
      </c>
      <c r="E234" s="14" t="s">
        <v>44</v>
      </c>
      <c r="F234" s="14" t="s">
        <v>763</v>
      </c>
      <c r="G234" s="14" t="n">
        <f aca="false">+5930995550215</f>
        <v>5930995550215</v>
      </c>
      <c r="H234" s="14" t="s">
        <v>764</v>
      </c>
      <c r="I234" s="14" t="s">
        <v>204</v>
      </c>
      <c r="J234" s="14"/>
      <c r="K234" s="1" t="s">
        <v>765</v>
      </c>
      <c r="L234" s="1" t="s">
        <v>21</v>
      </c>
      <c r="M234" s="1" t="s">
        <v>766</v>
      </c>
      <c r="N234" s="1"/>
      <c r="O234" s="1"/>
      <c r="P234" s="6" t="s">
        <v>31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21.75" hidden="false" customHeight="true" outlineLevel="0" collapsed="false">
      <c r="A235" s="4" t="n">
        <v>43454</v>
      </c>
      <c r="B235" s="18" t="s">
        <v>415</v>
      </c>
      <c r="C235" s="14" t="s">
        <v>15</v>
      </c>
      <c r="D235" s="14" t="s">
        <v>43</v>
      </c>
      <c r="E235" s="14" t="s">
        <v>44</v>
      </c>
      <c r="F235" s="14" t="s">
        <v>767</v>
      </c>
      <c r="G235" s="14" t="n">
        <f aca="false">+593988489060</f>
        <v>593988489060</v>
      </c>
      <c r="H235" s="14" t="s">
        <v>768</v>
      </c>
      <c r="I235" s="14" t="s">
        <v>769</v>
      </c>
      <c r="J235" s="14"/>
      <c r="K235" s="1" t="s">
        <v>21</v>
      </c>
      <c r="L235" s="1" t="s">
        <v>770</v>
      </c>
      <c r="M235" s="1"/>
      <c r="N235" s="1"/>
      <c r="O235" s="1"/>
      <c r="P235" s="6" t="s">
        <v>31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21.75" hidden="false" customHeight="true" outlineLevel="0" collapsed="false">
      <c r="A236" s="4" t="n">
        <v>43454</v>
      </c>
      <c r="B236" s="18" t="s">
        <v>415</v>
      </c>
      <c r="C236" s="14" t="s">
        <v>15</v>
      </c>
      <c r="D236" s="14" t="s">
        <v>43</v>
      </c>
      <c r="E236" s="14" t="s">
        <v>44</v>
      </c>
      <c r="F236" s="14" t="s">
        <v>771</v>
      </c>
      <c r="G236" s="14" t="n">
        <f aca="false">+593998408268</f>
        <v>593998408268</v>
      </c>
      <c r="H236" s="14" t="s">
        <v>772</v>
      </c>
      <c r="I236" s="14" t="s">
        <v>24</v>
      </c>
      <c r="J236" s="14"/>
      <c r="K236" s="1" t="s">
        <v>21</v>
      </c>
      <c r="L236" s="1" t="s">
        <v>21</v>
      </c>
      <c r="M236" s="1" t="s">
        <v>21</v>
      </c>
      <c r="N236" s="1" t="s">
        <v>21</v>
      </c>
      <c r="O236" s="1"/>
      <c r="P236" s="6" t="s">
        <v>21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21.75" hidden="false" customHeight="true" outlineLevel="0" collapsed="false">
      <c r="A237" s="4" t="n">
        <v>43454</v>
      </c>
      <c r="B237" s="18" t="s">
        <v>178</v>
      </c>
      <c r="C237" s="14" t="s">
        <v>15</v>
      </c>
      <c r="D237" s="14" t="s">
        <v>43</v>
      </c>
      <c r="E237" s="14" t="s">
        <v>44</v>
      </c>
      <c r="F237" s="14" t="s">
        <v>773</v>
      </c>
      <c r="G237" s="14" t="n">
        <f aca="false">+5930983439475</f>
        <v>5930983439475</v>
      </c>
      <c r="H237" s="14" t="s">
        <v>774</v>
      </c>
      <c r="I237" s="14" t="s">
        <v>563</v>
      </c>
      <c r="J237" s="14"/>
      <c r="K237" s="1" t="s">
        <v>775</v>
      </c>
      <c r="L237" s="1" t="s">
        <v>21</v>
      </c>
      <c r="M237" s="1" t="s">
        <v>21</v>
      </c>
      <c r="N237" s="1" t="s">
        <v>21</v>
      </c>
      <c r="O237" s="1"/>
      <c r="P237" s="6" t="s">
        <v>21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21.75" hidden="false" customHeight="true" outlineLevel="0" collapsed="false">
      <c r="A238" s="4" t="n">
        <v>43454</v>
      </c>
      <c r="B238" s="18" t="s">
        <v>178</v>
      </c>
      <c r="C238" s="14" t="s">
        <v>15</v>
      </c>
      <c r="D238" s="14" t="s">
        <v>43</v>
      </c>
      <c r="E238" s="14" t="s">
        <v>44</v>
      </c>
      <c r="F238" s="14" t="s">
        <v>776</v>
      </c>
      <c r="G238" s="14" t="n">
        <f aca="false">+5930939093272</f>
        <v>5930939093272</v>
      </c>
      <c r="H238" s="14" t="s">
        <v>777</v>
      </c>
      <c r="I238" s="14" t="s">
        <v>778</v>
      </c>
      <c r="J238" s="14"/>
      <c r="K238" s="1" t="s">
        <v>21</v>
      </c>
      <c r="L238" s="1" t="s">
        <v>779</v>
      </c>
      <c r="M238" s="1"/>
      <c r="N238" s="1"/>
      <c r="O238" s="1"/>
      <c r="P238" s="6" t="s">
        <v>31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21.75" hidden="false" customHeight="true" outlineLevel="0" collapsed="false">
      <c r="A239" s="4" t="n">
        <v>43454</v>
      </c>
      <c r="B239" s="18" t="s">
        <v>178</v>
      </c>
      <c r="C239" s="14" t="s">
        <v>15</v>
      </c>
      <c r="D239" s="14" t="s">
        <v>43</v>
      </c>
      <c r="E239" s="14" t="s">
        <v>44</v>
      </c>
      <c r="F239" s="14" t="s">
        <v>780</v>
      </c>
      <c r="G239" s="14" t="n">
        <f aca="false">+593990790973</f>
        <v>593990790973</v>
      </c>
      <c r="H239" s="14" t="s">
        <v>781</v>
      </c>
      <c r="I239" s="14" t="s">
        <v>68</v>
      </c>
      <c r="J239" s="14"/>
      <c r="K239" s="1" t="s">
        <v>782</v>
      </c>
      <c r="L239" s="1"/>
      <c r="M239" s="1"/>
      <c r="N239" s="1"/>
      <c r="O239" s="1"/>
      <c r="P239" s="6" t="s">
        <v>133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21.75" hidden="false" customHeight="true" outlineLevel="0" collapsed="false">
      <c r="A240" s="4" t="n">
        <v>43455</v>
      </c>
      <c r="B240" s="8" t="s">
        <v>42</v>
      </c>
      <c r="C240" s="14" t="s">
        <v>15</v>
      </c>
      <c r="D240" s="14" t="s">
        <v>43</v>
      </c>
      <c r="E240" s="14" t="s">
        <v>44</v>
      </c>
      <c r="F240" s="19" t="s">
        <v>783</v>
      </c>
      <c r="G240" s="18" t="n">
        <v>960055288</v>
      </c>
      <c r="H240" s="18" t="s">
        <v>784</v>
      </c>
      <c r="I240" s="18"/>
      <c r="J240" s="1"/>
      <c r="K240" s="1" t="s">
        <v>21</v>
      </c>
      <c r="L240" s="1" t="s">
        <v>785</v>
      </c>
      <c r="M240" s="1" t="s">
        <v>21</v>
      </c>
      <c r="N240" s="1" t="s">
        <v>21</v>
      </c>
      <c r="O240" s="1"/>
      <c r="P240" s="6" t="s">
        <v>21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21.75" hidden="false" customHeight="true" outlineLevel="0" collapsed="false">
      <c r="A241" s="4" t="n">
        <v>43455</v>
      </c>
      <c r="B241" s="18" t="s">
        <v>48</v>
      </c>
      <c r="C241" s="14" t="s">
        <v>15</v>
      </c>
      <c r="D241" s="14" t="s">
        <v>43</v>
      </c>
      <c r="E241" s="14" t="s">
        <v>44</v>
      </c>
      <c r="F241" s="14" t="s">
        <v>786</v>
      </c>
      <c r="G241" s="14" t="n">
        <f aca="false">+593939366087</f>
        <v>593939366087</v>
      </c>
      <c r="H241" s="14" t="s">
        <v>787</v>
      </c>
      <c r="I241" s="14" t="s">
        <v>736</v>
      </c>
      <c r="J241" s="14"/>
      <c r="K241" s="1" t="s">
        <v>541</v>
      </c>
      <c r="L241" s="1" t="s">
        <v>21</v>
      </c>
      <c r="M241" s="1" t="s">
        <v>21</v>
      </c>
      <c r="N241" s="1" t="s">
        <v>21</v>
      </c>
      <c r="O241" s="1"/>
      <c r="P241" s="6" t="s">
        <v>21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21.75" hidden="false" customHeight="true" outlineLevel="0" collapsed="false">
      <c r="A242" s="4" t="n">
        <v>43455</v>
      </c>
      <c r="B242" s="18" t="s">
        <v>48</v>
      </c>
      <c r="C242" s="14" t="s">
        <v>15</v>
      </c>
      <c r="D242" s="14" t="s">
        <v>43</v>
      </c>
      <c r="E242" s="14" t="s">
        <v>44</v>
      </c>
      <c r="F242" s="14" t="s">
        <v>788</v>
      </c>
      <c r="G242" s="14" t="n">
        <f aca="false">+5930983714215</f>
        <v>5930983714215</v>
      </c>
      <c r="H242" s="14" t="s">
        <v>789</v>
      </c>
      <c r="I242" s="14" t="s">
        <v>68</v>
      </c>
      <c r="J242" s="14"/>
      <c r="K242" s="1" t="s">
        <v>790</v>
      </c>
      <c r="L242" s="1"/>
      <c r="M242" s="1"/>
      <c r="N242" s="1"/>
      <c r="O242" s="1"/>
      <c r="P242" s="6" t="s">
        <v>21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21.75" hidden="false" customHeight="true" outlineLevel="0" collapsed="false">
      <c r="A243" s="4" t="n">
        <v>43455</v>
      </c>
      <c r="B243" s="18" t="s">
        <v>48</v>
      </c>
      <c r="C243" s="14" t="s">
        <v>15</v>
      </c>
      <c r="D243" s="14" t="s">
        <v>43</v>
      </c>
      <c r="E243" s="14" t="s">
        <v>44</v>
      </c>
      <c r="F243" s="14" t="s">
        <v>791</v>
      </c>
      <c r="G243" s="14" t="n">
        <f aca="false">+593985381005</f>
        <v>593985381005</v>
      </c>
      <c r="H243" s="14" t="s">
        <v>792</v>
      </c>
      <c r="I243" s="14" t="s">
        <v>24</v>
      </c>
      <c r="J243" s="14"/>
      <c r="K243" s="1" t="s">
        <v>441</v>
      </c>
      <c r="L243" s="1" t="s">
        <v>21</v>
      </c>
      <c r="M243" s="1" t="s">
        <v>21</v>
      </c>
      <c r="N243" s="1" t="s">
        <v>793</v>
      </c>
      <c r="O243" s="1"/>
      <c r="P243" s="6" t="s">
        <v>133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21.75" hidden="false" customHeight="true" outlineLevel="0" collapsed="false">
      <c r="A244" s="4" t="n">
        <v>43455</v>
      </c>
      <c r="B244" s="18" t="s">
        <v>48</v>
      </c>
      <c r="C244" s="14" t="s">
        <v>15</v>
      </c>
      <c r="D244" s="14" t="s">
        <v>43</v>
      </c>
      <c r="E244" s="14" t="s">
        <v>44</v>
      </c>
      <c r="F244" s="14" t="s">
        <v>794</v>
      </c>
      <c r="G244" s="14" t="n">
        <f aca="false">+5930981796804</f>
        <v>5930981796804</v>
      </c>
      <c r="H244" s="14" t="s">
        <v>795</v>
      </c>
      <c r="I244" s="14" t="s">
        <v>796</v>
      </c>
      <c r="J244" s="14"/>
      <c r="K244" s="1" t="s">
        <v>727</v>
      </c>
      <c r="L244" s="1" t="s">
        <v>21</v>
      </c>
      <c r="M244" s="1" t="s">
        <v>21</v>
      </c>
      <c r="N244" s="1" t="s">
        <v>797</v>
      </c>
      <c r="O244" s="1"/>
      <c r="P244" s="6" t="s">
        <v>751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21.75" hidden="false" customHeight="true" outlineLevel="0" collapsed="false">
      <c r="A245" s="4" t="n">
        <v>43455</v>
      </c>
      <c r="B245" s="18" t="s">
        <v>48</v>
      </c>
      <c r="C245" s="14" t="s">
        <v>15</v>
      </c>
      <c r="D245" s="14" t="s">
        <v>43</v>
      </c>
      <c r="E245" s="14" t="s">
        <v>109</v>
      </c>
      <c r="F245" s="19" t="s">
        <v>798</v>
      </c>
      <c r="G245" s="18" t="n">
        <v>991810373</v>
      </c>
      <c r="H245" s="18" t="s">
        <v>799</v>
      </c>
      <c r="I245" s="1"/>
      <c r="J245" s="1"/>
      <c r="K245" s="1" t="s">
        <v>800</v>
      </c>
      <c r="L245" s="1" t="s">
        <v>801</v>
      </c>
      <c r="M245" s="1" t="s">
        <v>21</v>
      </c>
      <c r="N245" s="1"/>
      <c r="O245" s="1"/>
      <c r="P245" s="6" t="s">
        <v>58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21.75" hidden="false" customHeight="true" outlineLevel="0" collapsed="false">
      <c r="A246" s="4" t="n">
        <v>43455</v>
      </c>
      <c r="B246" s="18" t="s">
        <v>178</v>
      </c>
      <c r="C246" s="14" t="s">
        <v>15</v>
      </c>
      <c r="D246" s="14" t="s">
        <v>43</v>
      </c>
      <c r="E246" s="14" t="s">
        <v>44</v>
      </c>
      <c r="F246" s="14" t="s">
        <v>802</v>
      </c>
      <c r="G246" s="14" t="n">
        <f aca="false">+5930995237496</f>
        <v>5930995237496</v>
      </c>
      <c r="H246" s="14" t="s">
        <v>803</v>
      </c>
      <c r="I246" s="14" t="s">
        <v>356</v>
      </c>
      <c r="J246" s="14"/>
      <c r="K246" s="1" t="s">
        <v>496</v>
      </c>
      <c r="L246" s="1" t="s">
        <v>779</v>
      </c>
      <c r="M246" s="1"/>
      <c r="N246" s="1"/>
      <c r="O246" s="1"/>
      <c r="P246" s="6" t="s">
        <v>31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21.75" hidden="false" customHeight="true" outlineLevel="0" collapsed="false">
      <c r="A247" s="4" t="n">
        <v>43456</v>
      </c>
      <c r="B247" s="8" t="s">
        <v>42</v>
      </c>
      <c r="C247" s="14" t="s">
        <v>15</v>
      </c>
      <c r="D247" s="14" t="s">
        <v>43</v>
      </c>
      <c r="E247" s="14" t="s">
        <v>44</v>
      </c>
      <c r="F247" s="14" t="s">
        <v>804</v>
      </c>
      <c r="G247" s="14" t="n">
        <f aca="false">+5930985728628</f>
        <v>5930985728628</v>
      </c>
      <c r="H247" s="14" t="s">
        <v>805</v>
      </c>
      <c r="I247" s="14" t="s">
        <v>736</v>
      </c>
      <c r="J247" s="14"/>
      <c r="K247" s="1" t="s">
        <v>35</v>
      </c>
      <c r="L247" s="1"/>
      <c r="M247" s="1"/>
      <c r="N247" s="1"/>
      <c r="O247" s="1"/>
      <c r="P247" s="6" t="s">
        <v>133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21.75" hidden="false" customHeight="true" outlineLevel="0" collapsed="false">
      <c r="A248" s="4" t="n">
        <v>43456</v>
      </c>
      <c r="B248" s="8" t="s">
        <v>42</v>
      </c>
      <c r="C248" s="14" t="s">
        <v>15</v>
      </c>
      <c r="D248" s="14" t="s">
        <v>43</v>
      </c>
      <c r="E248" s="14" t="s">
        <v>44</v>
      </c>
      <c r="F248" s="14" t="s">
        <v>806</v>
      </c>
      <c r="G248" s="14" t="n">
        <f aca="false">+593987630308</f>
        <v>593987630308</v>
      </c>
      <c r="H248" s="14" t="s">
        <v>807</v>
      </c>
      <c r="I248" s="14" t="s">
        <v>808</v>
      </c>
      <c r="J248" s="14"/>
      <c r="K248" s="1" t="s">
        <v>21</v>
      </c>
      <c r="L248" s="1" t="s">
        <v>691</v>
      </c>
      <c r="M248" s="1"/>
      <c r="N248" s="1"/>
      <c r="O248" s="1"/>
      <c r="P248" s="6" t="s">
        <v>21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21.75" hidden="false" customHeight="true" outlineLevel="0" collapsed="false">
      <c r="A249" s="4" t="n">
        <v>43456</v>
      </c>
      <c r="B249" s="18" t="s">
        <v>48</v>
      </c>
      <c r="C249" s="14" t="s">
        <v>15</v>
      </c>
      <c r="D249" s="14" t="s">
        <v>43</v>
      </c>
      <c r="E249" s="14" t="s">
        <v>44</v>
      </c>
      <c r="F249" s="14" t="s">
        <v>809</v>
      </c>
      <c r="G249" s="14" t="n">
        <f aca="false">+593992803650</f>
        <v>593992803650</v>
      </c>
      <c r="H249" s="14" t="s">
        <v>810</v>
      </c>
      <c r="I249" s="14" t="s">
        <v>811</v>
      </c>
      <c r="J249" s="14"/>
      <c r="K249" s="1" t="s">
        <v>21</v>
      </c>
      <c r="L249" s="1" t="s">
        <v>21</v>
      </c>
      <c r="M249" s="1" t="s">
        <v>21</v>
      </c>
      <c r="N249" s="1" t="s">
        <v>21</v>
      </c>
      <c r="O249" s="1"/>
      <c r="P249" s="6" t="s">
        <v>21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21.75" hidden="false" customHeight="true" outlineLevel="0" collapsed="false">
      <c r="A250" s="4" t="n">
        <v>43456</v>
      </c>
      <c r="B250" s="18" t="s">
        <v>48</v>
      </c>
      <c r="C250" s="14" t="s">
        <v>15</v>
      </c>
      <c r="D250" s="14" t="s">
        <v>43</v>
      </c>
      <c r="E250" s="14" t="s">
        <v>44</v>
      </c>
      <c r="F250" s="14" t="s">
        <v>812</v>
      </c>
      <c r="G250" s="14" t="n">
        <f aca="false">+593999964089</f>
        <v>593999964089</v>
      </c>
      <c r="H250" s="14" t="s">
        <v>813</v>
      </c>
      <c r="I250" s="14" t="s">
        <v>814</v>
      </c>
      <c r="J250" s="14"/>
      <c r="K250" s="1" t="s">
        <v>21</v>
      </c>
      <c r="L250" s="1" t="s">
        <v>21</v>
      </c>
      <c r="M250" s="1" t="s">
        <v>541</v>
      </c>
      <c r="N250" s="1" t="s">
        <v>21</v>
      </c>
      <c r="O250" s="1"/>
      <c r="P250" s="6" t="s">
        <v>21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1.75" hidden="false" customHeight="true" outlineLevel="0" collapsed="false">
      <c r="A251" s="4" t="n">
        <v>43456</v>
      </c>
      <c r="B251" s="18" t="s">
        <v>127</v>
      </c>
      <c r="C251" s="14" t="s">
        <v>15</v>
      </c>
      <c r="D251" s="14" t="s">
        <v>43</v>
      </c>
      <c r="E251" s="14" t="s">
        <v>44</v>
      </c>
      <c r="F251" s="14" t="s">
        <v>815</v>
      </c>
      <c r="G251" s="14" t="n">
        <f aca="false">+593992556638</f>
        <v>593992556638</v>
      </c>
      <c r="H251" s="14" t="s">
        <v>816</v>
      </c>
      <c r="I251" s="14" t="s">
        <v>512</v>
      </c>
      <c r="J251" s="14"/>
      <c r="K251" s="1" t="s">
        <v>21</v>
      </c>
      <c r="L251" s="1" t="s">
        <v>817</v>
      </c>
      <c r="M251" s="1" t="s">
        <v>21</v>
      </c>
      <c r="N251" s="1" t="s">
        <v>21</v>
      </c>
      <c r="O251" s="1"/>
      <c r="P251" s="6" t="s">
        <v>21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21.75" hidden="false" customHeight="true" outlineLevel="0" collapsed="false">
      <c r="A252" s="4" t="n">
        <v>43456</v>
      </c>
      <c r="B252" s="18" t="s">
        <v>127</v>
      </c>
      <c r="C252" s="14" t="s">
        <v>15</v>
      </c>
      <c r="D252" s="14" t="s">
        <v>43</v>
      </c>
      <c r="E252" s="14" t="s">
        <v>44</v>
      </c>
      <c r="F252" s="14" t="s">
        <v>818</v>
      </c>
      <c r="G252" s="14" t="n">
        <f aca="false">+5930959969100</f>
        <v>5930959969100</v>
      </c>
      <c r="H252" s="14" t="s">
        <v>819</v>
      </c>
      <c r="I252" s="14" t="s">
        <v>68</v>
      </c>
      <c r="J252" s="14"/>
      <c r="K252" s="1" t="s">
        <v>21</v>
      </c>
      <c r="L252" s="1" t="s">
        <v>21</v>
      </c>
      <c r="M252" s="1" t="s">
        <v>820</v>
      </c>
      <c r="N252" s="1"/>
      <c r="O252" s="1"/>
      <c r="P252" s="6" t="s">
        <v>21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21.75" hidden="false" customHeight="true" outlineLevel="0" collapsed="false">
      <c r="A253" s="4" t="n">
        <v>43456</v>
      </c>
      <c r="B253" s="18" t="s">
        <v>415</v>
      </c>
      <c r="C253" s="14" t="s">
        <v>15</v>
      </c>
      <c r="D253" s="14" t="s">
        <v>43</v>
      </c>
      <c r="E253" s="14" t="s">
        <v>44</v>
      </c>
      <c r="F253" s="14" t="s">
        <v>821</v>
      </c>
      <c r="G253" s="14" t="n">
        <f aca="false">+593990459486</f>
        <v>593990459486</v>
      </c>
      <c r="H253" s="14" t="s">
        <v>822</v>
      </c>
      <c r="I253" s="14" t="s">
        <v>512</v>
      </c>
      <c r="J253" s="14"/>
      <c r="K253" s="1" t="s">
        <v>21</v>
      </c>
      <c r="L253" s="1" t="s">
        <v>21</v>
      </c>
      <c r="M253" s="1" t="s">
        <v>21</v>
      </c>
      <c r="N253" s="1" t="s">
        <v>823</v>
      </c>
      <c r="O253" s="1"/>
      <c r="P253" s="6" t="s">
        <v>21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21.75" hidden="false" customHeight="true" outlineLevel="0" collapsed="false">
      <c r="A254" s="4" t="n">
        <v>43460</v>
      </c>
      <c r="B254" s="8" t="s">
        <v>42</v>
      </c>
      <c r="C254" s="14" t="s">
        <v>15</v>
      </c>
      <c r="D254" s="14" t="s">
        <v>43</v>
      </c>
      <c r="E254" s="14" t="s">
        <v>44</v>
      </c>
      <c r="F254" s="14" t="s">
        <v>824</v>
      </c>
      <c r="G254" s="14" t="n">
        <f aca="false">+593993876350</f>
        <v>593993876350</v>
      </c>
      <c r="H254" s="14" t="s">
        <v>825</v>
      </c>
      <c r="I254" s="14" t="s">
        <v>512</v>
      </c>
      <c r="J254" s="14"/>
      <c r="K254" s="1" t="s">
        <v>826</v>
      </c>
      <c r="L254" s="1" t="s">
        <v>827</v>
      </c>
      <c r="M254" s="1"/>
      <c r="N254" s="1"/>
      <c r="O254" s="1"/>
      <c r="P254" s="6" t="s">
        <v>21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21.75" hidden="false" customHeight="true" outlineLevel="0" collapsed="false">
      <c r="A255" s="4" t="n">
        <v>43460</v>
      </c>
      <c r="B255" s="8" t="s">
        <v>42</v>
      </c>
      <c r="C255" s="14" t="s">
        <v>26</v>
      </c>
      <c r="D255" s="14" t="s">
        <v>43</v>
      </c>
      <c r="E255" s="14" t="s">
        <v>44</v>
      </c>
      <c r="F255" s="14" t="s">
        <v>828</v>
      </c>
      <c r="G255" s="14" t="n">
        <f aca="false">+593996500070</f>
        <v>593996500070</v>
      </c>
      <c r="H255" s="14" t="s">
        <v>829</v>
      </c>
      <c r="I255" s="14" t="s">
        <v>830</v>
      </c>
      <c r="J255" s="14"/>
      <c r="K255" s="1" t="s">
        <v>21</v>
      </c>
      <c r="L255" s="1" t="s">
        <v>21</v>
      </c>
      <c r="M255" s="1" t="s">
        <v>21</v>
      </c>
      <c r="N255" s="1" t="s">
        <v>21</v>
      </c>
      <c r="O255" s="1"/>
      <c r="P255" s="6" t="s">
        <v>21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21.75" hidden="false" customHeight="true" outlineLevel="0" collapsed="false">
      <c r="A256" s="4" t="n">
        <v>43460</v>
      </c>
      <c r="B256" s="8" t="s">
        <v>42</v>
      </c>
      <c r="C256" s="14" t="s">
        <v>15</v>
      </c>
      <c r="D256" s="14" t="s">
        <v>43</v>
      </c>
      <c r="E256" s="14" t="s">
        <v>44</v>
      </c>
      <c r="F256" s="14" t="s">
        <v>831</v>
      </c>
      <c r="G256" s="14" t="n">
        <f aca="false">+593996133885</f>
        <v>593996133885</v>
      </c>
      <c r="H256" s="14" t="s">
        <v>832</v>
      </c>
      <c r="I256" s="14" t="s">
        <v>216</v>
      </c>
      <c r="J256" s="14"/>
      <c r="K256" s="1" t="s">
        <v>21</v>
      </c>
      <c r="L256" s="1" t="s">
        <v>21</v>
      </c>
      <c r="M256" s="1" t="s">
        <v>21</v>
      </c>
      <c r="N256" s="1" t="s">
        <v>21</v>
      </c>
      <c r="O256" s="1"/>
      <c r="P256" s="6" t="s">
        <v>21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21.75" hidden="false" customHeight="true" outlineLevel="0" collapsed="false">
      <c r="A257" s="4" t="n">
        <v>43460</v>
      </c>
      <c r="B257" s="8" t="s">
        <v>42</v>
      </c>
      <c r="C257" s="14" t="s">
        <v>15</v>
      </c>
      <c r="D257" s="14" t="s">
        <v>43</v>
      </c>
      <c r="E257" s="14" t="s">
        <v>44</v>
      </c>
      <c r="F257" s="14" t="s">
        <v>833</v>
      </c>
      <c r="G257" s="14" t="n">
        <f aca="false">+593997959216</f>
        <v>593997959216</v>
      </c>
      <c r="H257" s="14" t="s">
        <v>834</v>
      </c>
      <c r="I257" s="14" t="s">
        <v>576</v>
      </c>
      <c r="J257" s="14"/>
      <c r="K257" s="1" t="s">
        <v>21</v>
      </c>
      <c r="L257" s="1" t="s">
        <v>21</v>
      </c>
      <c r="M257" s="1" t="s">
        <v>835</v>
      </c>
      <c r="N257" s="1" t="s">
        <v>21</v>
      </c>
      <c r="O257" s="1"/>
      <c r="P257" s="6" t="s">
        <v>21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21.75" hidden="false" customHeight="true" outlineLevel="0" collapsed="false">
      <c r="A258" s="4" t="n">
        <v>43460</v>
      </c>
      <c r="B258" s="18" t="s">
        <v>48</v>
      </c>
      <c r="C258" s="14" t="s">
        <v>15</v>
      </c>
      <c r="D258" s="14" t="s">
        <v>43</v>
      </c>
      <c r="E258" s="14" t="s">
        <v>44</v>
      </c>
      <c r="F258" s="14" t="s">
        <v>836</v>
      </c>
      <c r="G258" s="14" t="n">
        <f aca="false">+593987699880</f>
        <v>593987699880</v>
      </c>
      <c r="H258" s="14" t="s">
        <v>837</v>
      </c>
      <c r="I258" s="14" t="s">
        <v>512</v>
      </c>
      <c r="J258" s="14"/>
      <c r="K258" s="1" t="s">
        <v>838</v>
      </c>
      <c r="L258" s="1" t="s">
        <v>21</v>
      </c>
      <c r="M258" s="1" t="s">
        <v>21</v>
      </c>
      <c r="N258" s="1" t="s">
        <v>21</v>
      </c>
      <c r="O258" s="1"/>
      <c r="P258" s="6" t="s">
        <v>21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21.75" hidden="false" customHeight="true" outlineLevel="0" collapsed="false">
      <c r="A259" s="4" t="n">
        <v>43460</v>
      </c>
      <c r="B259" s="18" t="s">
        <v>48</v>
      </c>
      <c r="C259" s="14" t="s">
        <v>15</v>
      </c>
      <c r="D259" s="14" t="s">
        <v>43</v>
      </c>
      <c r="E259" s="14" t="s">
        <v>44</v>
      </c>
      <c r="F259" s="14" t="s">
        <v>839</v>
      </c>
      <c r="G259" s="14" t="n">
        <f aca="false">+593939108219</f>
        <v>593939108219</v>
      </c>
      <c r="H259" s="14" t="s">
        <v>840</v>
      </c>
      <c r="I259" s="14" t="s">
        <v>563</v>
      </c>
      <c r="J259" s="14"/>
      <c r="K259" s="1" t="s">
        <v>21</v>
      </c>
      <c r="L259" s="1" t="s">
        <v>21</v>
      </c>
      <c r="M259" s="1" t="s">
        <v>21</v>
      </c>
      <c r="N259" s="1" t="s">
        <v>841</v>
      </c>
      <c r="O259" s="1"/>
      <c r="P259" s="6" t="s">
        <v>21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21.75" hidden="false" customHeight="true" outlineLevel="0" collapsed="false">
      <c r="A260" s="4" t="n">
        <v>43460</v>
      </c>
      <c r="B260" s="18" t="s">
        <v>48</v>
      </c>
      <c r="C260" s="14" t="s">
        <v>15</v>
      </c>
      <c r="D260" s="14" t="s">
        <v>43</v>
      </c>
      <c r="E260" s="14" t="s">
        <v>44</v>
      </c>
      <c r="F260" s="14" t="s">
        <v>842</v>
      </c>
      <c r="G260" s="14" t="n">
        <f aca="false">+593995513756</f>
        <v>593995513756</v>
      </c>
      <c r="H260" s="14" t="s">
        <v>843</v>
      </c>
      <c r="I260" s="14" t="s">
        <v>24</v>
      </c>
      <c r="J260" s="14"/>
      <c r="K260" s="1" t="s">
        <v>21</v>
      </c>
      <c r="L260" s="1" t="s">
        <v>62</v>
      </c>
      <c r="M260" s="1" t="s">
        <v>21</v>
      </c>
      <c r="N260" s="1" t="s">
        <v>21</v>
      </c>
      <c r="O260" s="1"/>
      <c r="P260" s="6" t="s">
        <v>21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21.75" hidden="false" customHeight="true" outlineLevel="0" collapsed="false">
      <c r="A261" s="4" t="n">
        <v>43460</v>
      </c>
      <c r="B261" s="18" t="s">
        <v>48</v>
      </c>
      <c r="C261" s="14" t="s">
        <v>15</v>
      </c>
      <c r="D261" s="14" t="s">
        <v>43</v>
      </c>
      <c r="E261" s="14" t="s">
        <v>44</v>
      </c>
      <c r="F261" s="14" t="s">
        <v>844</v>
      </c>
      <c r="G261" s="14" t="n">
        <f aca="false">+593996950973</f>
        <v>593996950973</v>
      </c>
      <c r="H261" s="14" t="s">
        <v>845</v>
      </c>
      <c r="I261" s="14" t="s">
        <v>563</v>
      </c>
      <c r="J261" s="14"/>
      <c r="K261" s="1" t="s">
        <v>21</v>
      </c>
      <c r="L261" s="1" t="s">
        <v>21</v>
      </c>
      <c r="M261" s="1" t="s">
        <v>21</v>
      </c>
      <c r="N261" s="1" t="s">
        <v>21</v>
      </c>
      <c r="O261" s="1"/>
      <c r="P261" s="6" t="s">
        <v>21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21.75" hidden="false" customHeight="true" outlineLevel="0" collapsed="false">
      <c r="A262" s="4" t="n">
        <v>43460</v>
      </c>
      <c r="B262" s="18" t="s">
        <v>48</v>
      </c>
      <c r="C262" s="14" t="s">
        <v>15</v>
      </c>
      <c r="D262" s="14" t="s">
        <v>43</v>
      </c>
      <c r="E262" s="14" t="s">
        <v>44</v>
      </c>
      <c r="F262" s="14" t="s">
        <v>846</v>
      </c>
      <c r="G262" s="14" t="n">
        <f aca="false">+5930988551716</f>
        <v>5930988551716</v>
      </c>
      <c r="H262" s="14" t="s">
        <v>847</v>
      </c>
      <c r="I262" s="14" t="s">
        <v>24</v>
      </c>
      <c r="J262" s="14"/>
      <c r="K262" s="1" t="s">
        <v>21</v>
      </c>
      <c r="L262" s="1" t="s">
        <v>21</v>
      </c>
      <c r="M262" s="1" t="s">
        <v>21</v>
      </c>
      <c r="N262" s="1" t="s">
        <v>21</v>
      </c>
      <c r="O262" s="1"/>
      <c r="P262" s="6" t="s">
        <v>21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21.75" hidden="false" customHeight="true" outlineLevel="0" collapsed="false">
      <c r="A263" s="4" t="n">
        <v>43460</v>
      </c>
      <c r="B263" s="18" t="s">
        <v>48</v>
      </c>
      <c r="C263" s="14" t="s">
        <v>15</v>
      </c>
      <c r="D263" s="14" t="s">
        <v>43</v>
      </c>
      <c r="E263" s="14" t="s">
        <v>44</v>
      </c>
      <c r="F263" s="14" t="s">
        <v>848</v>
      </c>
      <c r="G263" s="14" t="n">
        <f aca="false">+593996750794</f>
        <v>593996750794</v>
      </c>
      <c r="H263" s="14" t="s">
        <v>849</v>
      </c>
      <c r="I263" s="14" t="s">
        <v>24</v>
      </c>
      <c r="J263" s="14"/>
      <c r="K263" s="1" t="s">
        <v>21</v>
      </c>
      <c r="L263" s="1" t="s">
        <v>21</v>
      </c>
      <c r="M263" s="1" t="s">
        <v>21</v>
      </c>
      <c r="N263" s="1" t="s">
        <v>496</v>
      </c>
      <c r="O263" s="1"/>
      <c r="P263" s="6" t="s">
        <v>21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21.75" hidden="false" customHeight="true" outlineLevel="0" collapsed="false">
      <c r="A264" s="4" t="n">
        <v>43460</v>
      </c>
      <c r="B264" s="18" t="s">
        <v>48</v>
      </c>
      <c r="C264" s="14" t="s">
        <v>15</v>
      </c>
      <c r="D264" s="14" t="s">
        <v>43</v>
      </c>
      <c r="E264" s="14" t="s">
        <v>44</v>
      </c>
      <c r="F264" s="14" t="s">
        <v>850</v>
      </c>
      <c r="G264" s="14" t="n">
        <f aca="false">+593997438808</f>
        <v>593997438808</v>
      </c>
      <c r="H264" s="14" t="s">
        <v>851</v>
      </c>
      <c r="I264" s="14" t="s">
        <v>250</v>
      </c>
      <c r="J264" s="14"/>
      <c r="K264" s="1" t="s">
        <v>428</v>
      </c>
      <c r="L264" s="1"/>
      <c r="M264" s="1"/>
      <c r="N264" s="1"/>
      <c r="O264" s="1"/>
      <c r="P264" s="6" t="s">
        <v>31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21.75" hidden="false" customHeight="true" outlineLevel="0" collapsed="false">
      <c r="A265" s="4" t="n">
        <v>43460</v>
      </c>
      <c r="B265" s="18" t="s">
        <v>48</v>
      </c>
      <c r="C265" s="14" t="s">
        <v>15</v>
      </c>
      <c r="D265" s="14" t="s">
        <v>43</v>
      </c>
      <c r="E265" s="14" t="s">
        <v>44</v>
      </c>
      <c r="F265" s="14" t="s">
        <v>852</v>
      </c>
      <c r="G265" s="14" t="n">
        <f aca="false">+593979092132</f>
        <v>593979092132</v>
      </c>
      <c r="H265" s="14" t="s">
        <v>853</v>
      </c>
      <c r="I265" s="14" t="s">
        <v>356</v>
      </c>
      <c r="J265" s="14"/>
      <c r="K265" s="1" t="s">
        <v>604</v>
      </c>
      <c r="L265" s="1" t="s">
        <v>21</v>
      </c>
      <c r="M265" s="1" t="s">
        <v>604</v>
      </c>
      <c r="N265" s="1"/>
      <c r="O265" s="1"/>
      <c r="P265" s="6" t="s">
        <v>133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21.75" hidden="false" customHeight="true" outlineLevel="0" collapsed="false">
      <c r="A266" s="4" t="n">
        <v>43460</v>
      </c>
      <c r="B266" s="18" t="s">
        <v>48</v>
      </c>
      <c r="C266" s="14" t="s">
        <v>15</v>
      </c>
      <c r="D266" s="14" t="s">
        <v>43</v>
      </c>
      <c r="E266" s="14" t="s">
        <v>44</v>
      </c>
      <c r="F266" s="14" t="s">
        <v>854</v>
      </c>
      <c r="G266" s="14" t="n">
        <f aca="false">+593983051605</f>
        <v>593983051605</v>
      </c>
      <c r="H266" s="14" t="s">
        <v>855</v>
      </c>
      <c r="I266" s="14" t="s">
        <v>68</v>
      </c>
      <c r="J266" s="14"/>
      <c r="K266" s="1" t="s">
        <v>21</v>
      </c>
      <c r="L266" s="1" t="s">
        <v>21</v>
      </c>
      <c r="M266" s="1" t="s">
        <v>21</v>
      </c>
      <c r="N266" s="1"/>
      <c r="O266" s="1"/>
      <c r="P266" s="6" t="s">
        <v>21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21.75" hidden="false" customHeight="true" outlineLevel="0" collapsed="false">
      <c r="A267" s="4" t="n">
        <v>43460</v>
      </c>
      <c r="B267" s="18" t="s">
        <v>48</v>
      </c>
      <c r="C267" s="14" t="s">
        <v>15</v>
      </c>
      <c r="D267" s="14" t="s">
        <v>43</v>
      </c>
      <c r="E267" s="14" t="s">
        <v>44</v>
      </c>
      <c r="F267" s="14" t="s">
        <v>856</v>
      </c>
      <c r="G267" s="14" t="n">
        <f aca="false">+593939210901</f>
        <v>593939210901</v>
      </c>
      <c r="H267" s="14" t="s">
        <v>857</v>
      </c>
      <c r="I267" s="14" t="s">
        <v>512</v>
      </c>
      <c r="J267" s="14"/>
      <c r="K267" s="1" t="s">
        <v>817</v>
      </c>
      <c r="L267" s="1" t="s">
        <v>21</v>
      </c>
      <c r="M267" s="1" t="s">
        <v>21</v>
      </c>
      <c r="N267" s="1"/>
      <c r="O267" s="1"/>
      <c r="P267" s="6" t="s">
        <v>58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21.75" hidden="false" customHeight="true" outlineLevel="0" collapsed="false">
      <c r="A268" s="4" t="n">
        <v>43460</v>
      </c>
      <c r="B268" s="18" t="s">
        <v>48</v>
      </c>
      <c r="C268" s="14" t="s">
        <v>15</v>
      </c>
      <c r="D268" s="14" t="s">
        <v>43</v>
      </c>
      <c r="E268" s="14" t="s">
        <v>44</v>
      </c>
      <c r="F268" s="14" t="s">
        <v>858</v>
      </c>
      <c r="G268" s="14" t="n">
        <f aca="false">+593939678773</f>
        <v>593939678773</v>
      </c>
      <c r="H268" s="14" t="s">
        <v>859</v>
      </c>
      <c r="I268" s="14" t="s">
        <v>24</v>
      </c>
      <c r="J268" s="14"/>
      <c r="K268" s="1" t="s">
        <v>860</v>
      </c>
      <c r="L268" s="1" t="s">
        <v>21</v>
      </c>
      <c r="M268" s="1" t="s">
        <v>861</v>
      </c>
      <c r="N268" s="1"/>
      <c r="O268" s="1"/>
      <c r="P268" s="6" t="s">
        <v>126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21.75" hidden="false" customHeight="true" outlineLevel="0" collapsed="false">
      <c r="A269" s="4" t="n">
        <v>43460</v>
      </c>
      <c r="B269" s="18" t="s">
        <v>48</v>
      </c>
      <c r="C269" s="14" t="s">
        <v>15</v>
      </c>
      <c r="D269" s="14" t="s">
        <v>43</v>
      </c>
      <c r="E269" s="14" t="s">
        <v>44</v>
      </c>
      <c r="F269" s="14" t="s">
        <v>862</v>
      </c>
      <c r="G269" s="14" t="n">
        <f aca="false">+5930984257372</f>
        <v>5930984257372</v>
      </c>
      <c r="H269" s="14" t="s">
        <v>863</v>
      </c>
      <c r="I269" s="14" t="s">
        <v>24</v>
      </c>
      <c r="J269" s="14"/>
      <c r="K269" s="1" t="s">
        <v>21</v>
      </c>
      <c r="L269" s="1" t="s">
        <v>21</v>
      </c>
      <c r="M269" s="1" t="s">
        <v>496</v>
      </c>
      <c r="N269" s="1" t="s">
        <v>21</v>
      </c>
      <c r="O269" s="1"/>
      <c r="P269" s="6" t="s">
        <v>21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21.75" hidden="false" customHeight="true" outlineLevel="0" collapsed="false">
      <c r="A270" s="4" t="n">
        <v>43460</v>
      </c>
      <c r="B270" s="18" t="s">
        <v>48</v>
      </c>
      <c r="C270" s="14" t="s">
        <v>15</v>
      </c>
      <c r="D270" s="14" t="s">
        <v>43</v>
      </c>
      <c r="E270" s="14" t="s">
        <v>44</v>
      </c>
      <c r="F270" s="14" t="s">
        <v>864</v>
      </c>
      <c r="G270" s="14" t="n">
        <f aca="false">+593985344640</f>
        <v>593985344640</v>
      </c>
      <c r="H270" s="14" t="s">
        <v>865</v>
      </c>
      <c r="I270" s="14" t="s">
        <v>24</v>
      </c>
      <c r="J270" s="14"/>
      <c r="K270" s="1" t="s">
        <v>21</v>
      </c>
      <c r="L270" s="1" t="s">
        <v>21</v>
      </c>
      <c r="M270" s="1" t="s">
        <v>21</v>
      </c>
      <c r="N270" s="1" t="s">
        <v>21</v>
      </c>
      <c r="O270" s="1"/>
      <c r="P270" s="6" t="s">
        <v>21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21.75" hidden="false" customHeight="true" outlineLevel="0" collapsed="false">
      <c r="A271" s="4" t="n">
        <v>43460</v>
      </c>
      <c r="B271" s="18" t="s">
        <v>48</v>
      </c>
      <c r="C271" s="14" t="s">
        <v>15</v>
      </c>
      <c r="D271" s="14" t="s">
        <v>43</v>
      </c>
      <c r="E271" s="14" t="s">
        <v>44</v>
      </c>
      <c r="F271" s="14" t="s">
        <v>866</v>
      </c>
      <c r="G271" s="14" t="n">
        <f aca="false">+5930959788464</f>
        <v>5930959788464</v>
      </c>
      <c r="H271" s="14" t="s">
        <v>867</v>
      </c>
      <c r="I271" s="14" t="s">
        <v>56</v>
      </c>
      <c r="J271" s="14"/>
      <c r="K271" s="1" t="s">
        <v>21</v>
      </c>
      <c r="L271" s="1" t="s">
        <v>21</v>
      </c>
      <c r="M271" s="1" t="s">
        <v>21</v>
      </c>
      <c r="N271" s="1"/>
      <c r="O271" s="1"/>
      <c r="P271" s="6" t="s">
        <v>21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21.75" hidden="false" customHeight="true" outlineLevel="0" collapsed="false">
      <c r="A272" s="4" t="n">
        <v>43460</v>
      </c>
      <c r="B272" s="18" t="s">
        <v>48</v>
      </c>
      <c r="C272" s="14" t="s">
        <v>15</v>
      </c>
      <c r="D272" s="14" t="s">
        <v>43</v>
      </c>
      <c r="E272" s="14" t="s">
        <v>109</v>
      </c>
      <c r="F272" s="19" t="s">
        <v>868</v>
      </c>
      <c r="G272" s="18" t="n">
        <v>981216909</v>
      </c>
      <c r="H272" s="18" t="s">
        <v>869</v>
      </c>
      <c r="I272" s="18"/>
      <c r="J272" s="1"/>
      <c r="K272" s="1" t="s">
        <v>345</v>
      </c>
      <c r="L272" s="1" t="s">
        <v>870</v>
      </c>
      <c r="M272" s="1"/>
      <c r="N272" s="1"/>
      <c r="O272" s="1"/>
      <c r="P272" s="6" t="s">
        <v>31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21.75" hidden="false" customHeight="true" outlineLevel="0" collapsed="false">
      <c r="A273" s="4" t="n">
        <v>43460</v>
      </c>
      <c r="B273" s="14" t="s">
        <v>532</v>
      </c>
      <c r="C273" s="14" t="s">
        <v>15</v>
      </c>
      <c r="D273" s="14" t="s">
        <v>43</v>
      </c>
      <c r="E273" s="14" t="s">
        <v>109</v>
      </c>
      <c r="F273" s="19" t="s">
        <v>871</v>
      </c>
      <c r="G273" s="18" t="n">
        <v>992012243</v>
      </c>
      <c r="H273" s="18" t="s">
        <v>872</v>
      </c>
      <c r="I273" s="18"/>
      <c r="J273" s="1"/>
      <c r="K273" s="1" t="s">
        <v>873</v>
      </c>
      <c r="L273" s="1" t="s">
        <v>21</v>
      </c>
      <c r="M273" s="1"/>
      <c r="N273" s="1"/>
      <c r="O273" s="1"/>
      <c r="P273" s="6" t="s">
        <v>21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21.75" hidden="false" customHeight="true" outlineLevel="0" collapsed="false">
      <c r="A274" s="4" t="n">
        <v>43460</v>
      </c>
      <c r="B274" s="18" t="s">
        <v>127</v>
      </c>
      <c r="C274" s="14" t="s">
        <v>15</v>
      </c>
      <c r="D274" s="14" t="s">
        <v>43</v>
      </c>
      <c r="E274" s="14" t="s">
        <v>44</v>
      </c>
      <c r="F274" s="14" t="s">
        <v>874</v>
      </c>
      <c r="G274" s="14" t="n">
        <f aca="false">+593989352914</f>
        <v>593989352914</v>
      </c>
      <c r="H274" s="14" t="s">
        <v>875</v>
      </c>
      <c r="I274" s="14" t="s">
        <v>47</v>
      </c>
      <c r="J274" s="14"/>
      <c r="K274" s="1" t="s">
        <v>876</v>
      </c>
      <c r="L274" s="1" t="s">
        <v>877</v>
      </c>
      <c r="M274" s="1"/>
      <c r="N274" s="1"/>
      <c r="O274" s="1"/>
      <c r="P274" s="6" t="s">
        <v>747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21.75" hidden="false" customHeight="true" outlineLevel="0" collapsed="false">
      <c r="A275" s="4" t="n">
        <v>43460</v>
      </c>
      <c r="B275" s="18" t="s">
        <v>415</v>
      </c>
      <c r="C275" s="14" t="s">
        <v>15</v>
      </c>
      <c r="D275" s="14" t="s">
        <v>43</v>
      </c>
      <c r="E275" s="14" t="s">
        <v>44</v>
      </c>
      <c r="F275" s="14" t="s">
        <v>878</v>
      </c>
      <c r="G275" s="14" t="n">
        <f aca="false">+593982965736</f>
        <v>593982965736</v>
      </c>
      <c r="H275" s="14" t="s">
        <v>879</v>
      </c>
      <c r="I275" s="14" t="s">
        <v>24</v>
      </c>
      <c r="J275" s="14"/>
      <c r="K275" s="1" t="s">
        <v>21</v>
      </c>
      <c r="L275" s="1" t="s">
        <v>21</v>
      </c>
      <c r="M275" s="1" t="s">
        <v>21</v>
      </c>
      <c r="N275" s="1"/>
      <c r="O275" s="1"/>
      <c r="P275" s="6" t="s">
        <v>21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21.75" hidden="false" customHeight="true" outlineLevel="0" collapsed="false">
      <c r="A276" s="4" t="n">
        <v>43460</v>
      </c>
      <c r="B276" s="18" t="s">
        <v>415</v>
      </c>
      <c r="C276" s="14" t="s">
        <v>15</v>
      </c>
      <c r="D276" s="14" t="s">
        <v>43</v>
      </c>
      <c r="E276" s="14" t="s">
        <v>44</v>
      </c>
      <c r="F276" s="14" t="s">
        <v>880</v>
      </c>
      <c r="G276" s="14" t="n">
        <f aca="false">+5930995049705</f>
        <v>5930995049705</v>
      </c>
      <c r="H276" s="14" t="s">
        <v>881</v>
      </c>
      <c r="I276" s="14" t="s">
        <v>882</v>
      </c>
      <c r="J276" s="14"/>
      <c r="K276" s="1" t="s">
        <v>21</v>
      </c>
      <c r="L276" s="1" t="s">
        <v>21</v>
      </c>
      <c r="M276" s="1" t="s">
        <v>21</v>
      </c>
      <c r="N276" s="1"/>
      <c r="O276" s="1"/>
      <c r="P276" s="6" t="s">
        <v>21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21.75" hidden="false" customHeight="true" outlineLevel="0" collapsed="false">
      <c r="A277" s="4" t="n">
        <v>43460</v>
      </c>
      <c r="B277" s="18" t="s">
        <v>178</v>
      </c>
      <c r="C277" s="14" t="s">
        <v>15</v>
      </c>
      <c r="D277" s="14" t="s">
        <v>43</v>
      </c>
      <c r="E277" s="8" t="s">
        <v>883</v>
      </c>
      <c r="F277" s="16" t="s">
        <v>884</v>
      </c>
      <c r="G277" s="17" t="n">
        <v>987478899</v>
      </c>
      <c r="H277" s="17" t="s">
        <v>885</v>
      </c>
      <c r="I277" s="1"/>
      <c r="J277" s="1"/>
      <c r="K277" s="1" t="s">
        <v>590</v>
      </c>
      <c r="L277" s="1" t="s">
        <v>886</v>
      </c>
      <c r="M277" s="1"/>
      <c r="N277" s="1"/>
      <c r="O277" s="1"/>
      <c r="P277" s="6" t="s">
        <v>887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21.75" hidden="false" customHeight="true" outlineLevel="0" collapsed="false">
      <c r="A278" s="4" t="n">
        <v>43460</v>
      </c>
      <c r="B278" s="18" t="s">
        <v>178</v>
      </c>
      <c r="C278" s="14" t="s">
        <v>15</v>
      </c>
      <c r="D278" s="14" t="s">
        <v>43</v>
      </c>
      <c r="E278" s="14" t="s">
        <v>44</v>
      </c>
      <c r="F278" s="14" t="s">
        <v>888</v>
      </c>
      <c r="G278" s="14" t="n">
        <f aca="false">+593996787149</f>
        <v>593996787149</v>
      </c>
      <c r="H278" s="14" t="s">
        <v>889</v>
      </c>
      <c r="I278" s="14" t="s">
        <v>47</v>
      </c>
      <c r="J278" s="14"/>
      <c r="K278" s="1" t="s">
        <v>345</v>
      </c>
      <c r="L278" s="1" t="s">
        <v>21</v>
      </c>
      <c r="M278" s="1" t="s">
        <v>21</v>
      </c>
      <c r="N278" s="1" t="s">
        <v>21</v>
      </c>
      <c r="O278" s="1"/>
      <c r="P278" s="6" t="s">
        <v>21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21.75" hidden="false" customHeight="true" outlineLevel="0" collapsed="false">
      <c r="A279" s="4" t="n">
        <v>43460</v>
      </c>
      <c r="B279" s="18" t="s">
        <v>178</v>
      </c>
      <c r="C279" s="14" t="s">
        <v>15</v>
      </c>
      <c r="D279" s="14" t="s">
        <v>43</v>
      </c>
      <c r="E279" s="14" t="s">
        <v>44</v>
      </c>
      <c r="F279" s="14" t="s">
        <v>890</v>
      </c>
      <c r="G279" s="14" t="n">
        <f aca="false">+593994285907</f>
        <v>593994285907</v>
      </c>
      <c r="H279" s="14" t="s">
        <v>891</v>
      </c>
      <c r="I279" s="14" t="s">
        <v>24</v>
      </c>
      <c r="J279" s="14"/>
      <c r="K279" s="1" t="s">
        <v>21</v>
      </c>
      <c r="L279" s="1" t="s">
        <v>441</v>
      </c>
      <c r="M279" s="1" t="s">
        <v>21</v>
      </c>
      <c r="N279" s="1"/>
      <c r="O279" s="1"/>
      <c r="P279" s="6" t="s">
        <v>21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21.75" hidden="false" customHeight="true" outlineLevel="0" collapsed="false">
      <c r="A280" s="4" t="n">
        <v>43460</v>
      </c>
      <c r="B280" s="18" t="s">
        <v>81</v>
      </c>
      <c r="C280" s="14" t="s">
        <v>15</v>
      </c>
      <c r="D280" s="14" t="s">
        <v>43</v>
      </c>
      <c r="E280" s="14" t="s">
        <v>44</v>
      </c>
      <c r="F280" s="14" t="s">
        <v>892</v>
      </c>
      <c r="G280" s="14" t="n">
        <f aca="false">+5930984804644</f>
        <v>5930984804644</v>
      </c>
      <c r="H280" s="14" t="s">
        <v>893</v>
      </c>
      <c r="I280" s="14" t="s">
        <v>894</v>
      </c>
      <c r="J280" s="14"/>
      <c r="K280" s="1" t="s">
        <v>21</v>
      </c>
      <c r="L280" s="1" t="s">
        <v>895</v>
      </c>
      <c r="M280" s="1"/>
      <c r="N280" s="1"/>
      <c r="O280" s="1"/>
      <c r="P280" s="6" t="s">
        <v>21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21.75" hidden="false" customHeight="true" outlineLevel="0" collapsed="false">
      <c r="A281" s="4" t="n">
        <v>43460</v>
      </c>
      <c r="B281" s="18" t="s">
        <v>81</v>
      </c>
      <c r="C281" s="14" t="s">
        <v>15</v>
      </c>
      <c r="D281" s="14" t="s">
        <v>43</v>
      </c>
      <c r="E281" s="14" t="s">
        <v>44</v>
      </c>
      <c r="F281" s="14" t="s">
        <v>896</v>
      </c>
      <c r="G281" s="14" t="n">
        <f aca="false">+593987093743</f>
        <v>593987093743</v>
      </c>
      <c r="H281" s="14" t="s">
        <v>897</v>
      </c>
      <c r="I281" s="14" t="s">
        <v>24</v>
      </c>
      <c r="J281" s="14"/>
      <c r="K281" s="1" t="s">
        <v>21</v>
      </c>
      <c r="L281" s="1" t="s">
        <v>95</v>
      </c>
      <c r="M281" s="1" t="s">
        <v>21</v>
      </c>
      <c r="N281" s="1" t="s">
        <v>898</v>
      </c>
      <c r="O281" s="1"/>
      <c r="P281" s="6" t="s">
        <v>21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21.75" hidden="false" customHeight="true" outlineLevel="0" collapsed="false">
      <c r="A282" s="4" t="n">
        <v>43460</v>
      </c>
      <c r="B282" s="18" t="s">
        <v>81</v>
      </c>
      <c r="C282" s="14" t="s">
        <v>15</v>
      </c>
      <c r="D282" s="14" t="s">
        <v>43</v>
      </c>
      <c r="E282" s="14" t="s">
        <v>44</v>
      </c>
      <c r="F282" s="14" t="s">
        <v>899</v>
      </c>
      <c r="G282" s="14" t="n">
        <f aca="false">+593984614551</f>
        <v>593984614551</v>
      </c>
      <c r="H282" s="14" t="s">
        <v>900</v>
      </c>
      <c r="I282" s="14" t="s">
        <v>47</v>
      </c>
      <c r="J282" s="14"/>
      <c r="K282" s="1" t="s">
        <v>901</v>
      </c>
      <c r="L282" s="1" t="s">
        <v>21</v>
      </c>
      <c r="M282" s="1" t="s">
        <v>21</v>
      </c>
      <c r="N282" s="1" t="s">
        <v>21</v>
      </c>
      <c r="O282" s="1"/>
      <c r="P282" s="6" t="s">
        <v>21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21.75" hidden="false" customHeight="true" outlineLevel="0" collapsed="false">
      <c r="A283" s="4" t="n">
        <v>43460</v>
      </c>
      <c r="B283" s="18" t="s">
        <v>81</v>
      </c>
      <c r="C283" s="14" t="s">
        <v>15</v>
      </c>
      <c r="D283" s="14" t="s">
        <v>43</v>
      </c>
      <c r="E283" s="14" t="s">
        <v>44</v>
      </c>
      <c r="F283" s="14" t="s">
        <v>902</v>
      </c>
      <c r="G283" s="14" t="n">
        <f aca="false">+593959404204</f>
        <v>593959404204</v>
      </c>
      <c r="H283" s="14" t="s">
        <v>903</v>
      </c>
      <c r="I283" s="14" t="s">
        <v>512</v>
      </c>
      <c r="J283" s="14"/>
      <c r="K283" s="1" t="s">
        <v>817</v>
      </c>
      <c r="L283" s="1" t="s">
        <v>21</v>
      </c>
      <c r="M283" s="1" t="s">
        <v>904</v>
      </c>
      <c r="N283" s="1"/>
      <c r="O283" s="1"/>
      <c r="P283" s="6" t="s">
        <v>133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21.75" hidden="false" customHeight="true" outlineLevel="0" collapsed="false">
      <c r="A284" s="4" t="n">
        <v>43460</v>
      </c>
      <c r="B284" s="18" t="s">
        <v>81</v>
      </c>
      <c r="C284" s="14" t="s">
        <v>15</v>
      </c>
      <c r="D284" s="14" t="s">
        <v>43</v>
      </c>
      <c r="E284" s="14" t="s">
        <v>44</v>
      </c>
      <c r="F284" s="14" t="s">
        <v>905</v>
      </c>
      <c r="G284" s="14" t="n">
        <f aca="false">+593988535085</f>
        <v>593988535085</v>
      </c>
      <c r="H284" s="14" t="s">
        <v>906</v>
      </c>
      <c r="I284" s="14" t="s">
        <v>68</v>
      </c>
      <c r="J284" s="14"/>
      <c r="K284" s="1" t="s">
        <v>907</v>
      </c>
      <c r="L284" s="1"/>
      <c r="M284" s="1"/>
      <c r="N284" s="1"/>
      <c r="O284" s="1"/>
      <c r="P284" s="6" t="s">
        <v>133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21.75" hidden="false" customHeight="true" outlineLevel="0" collapsed="false">
      <c r="A285" s="4" t="n">
        <v>43460</v>
      </c>
      <c r="B285" s="18" t="s">
        <v>81</v>
      </c>
      <c r="C285" s="14" t="s">
        <v>15</v>
      </c>
      <c r="D285" s="14" t="s">
        <v>43</v>
      </c>
      <c r="E285" s="14" t="s">
        <v>44</v>
      </c>
      <c r="F285" s="14" t="s">
        <v>908</v>
      </c>
      <c r="G285" s="14" t="n">
        <f aca="false">+593999200643</f>
        <v>593999200643</v>
      </c>
      <c r="H285" s="14" t="s">
        <v>909</v>
      </c>
      <c r="I285" s="14" t="s">
        <v>910</v>
      </c>
      <c r="J285" s="14"/>
      <c r="K285" s="1" t="s">
        <v>21</v>
      </c>
      <c r="L285" s="1" t="s">
        <v>496</v>
      </c>
      <c r="M285" s="1" t="s">
        <v>21</v>
      </c>
      <c r="N285" s="1" t="s">
        <v>21</v>
      </c>
      <c r="O285" s="1"/>
      <c r="P285" s="6" t="s">
        <v>21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21.75" hidden="false" customHeight="true" outlineLevel="0" collapsed="false">
      <c r="A286" s="4" t="n">
        <v>43460</v>
      </c>
      <c r="B286" s="14" t="s">
        <v>911</v>
      </c>
      <c r="C286" s="14" t="s">
        <v>15</v>
      </c>
      <c r="D286" s="1" t="s">
        <v>16</v>
      </c>
      <c r="E286" s="1" t="s">
        <v>17</v>
      </c>
      <c r="F286" s="16" t="s">
        <v>912</v>
      </c>
      <c r="G286" s="17" t="n">
        <v>982488722</v>
      </c>
      <c r="H286" s="1"/>
      <c r="I286" s="1"/>
      <c r="J286" s="1"/>
      <c r="K286" s="1" t="s">
        <v>21</v>
      </c>
      <c r="L286" s="1" t="s">
        <v>21</v>
      </c>
      <c r="M286" s="1" t="s">
        <v>913</v>
      </c>
      <c r="N286" s="1"/>
      <c r="O286" s="1"/>
      <c r="P286" s="6" t="s">
        <v>21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21.75" hidden="false" customHeight="true" outlineLevel="0" collapsed="false">
      <c r="A287" s="4" t="n">
        <v>43461</v>
      </c>
      <c r="B287" s="8" t="s">
        <v>42</v>
      </c>
      <c r="C287" s="14" t="s">
        <v>15</v>
      </c>
      <c r="D287" s="14" t="s">
        <v>43</v>
      </c>
      <c r="E287" s="14" t="s">
        <v>44</v>
      </c>
      <c r="F287" s="14" t="s">
        <v>914</v>
      </c>
      <c r="G287" s="14" t="n">
        <f aca="false">+593998284165</f>
        <v>593998284165</v>
      </c>
      <c r="H287" s="14" t="s">
        <v>915</v>
      </c>
      <c r="I287" s="14" t="s">
        <v>68</v>
      </c>
      <c r="J287" s="1"/>
      <c r="K287" s="1" t="s">
        <v>21</v>
      </c>
      <c r="L287" s="1" t="s">
        <v>21</v>
      </c>
      <c r="M287" s="1" t="s">
        <v>21</v>
      </c>
      <c r="N287" s="1"/>
      <c r="O287" s="1"/>
      <c r="P287" s="6" t="s">
        <v>21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21.75" hidden="false" customHeight="true" outlineLevel="0" collapsed="false">
      <c r="A288" s="4" t="n">
        <v>43461</v>
      </c>
      <c r="B288" s="8" t="s">
        <v>42</v>
      </c>
      <c r="C288" s="14" t="s">
        <v>15</v>
      </c>
      <c r="D288" s="14" t="s">
        <v>43</v>
      </c>
      <c r="E288" s="14" t="s">
        <v>44</v>
      </c>
      <c r="F288" s="14" t="s">
        <v>916</v>
      </c>
      <c r="G288" s="14" t="n">
        <f aca="false">+593986119579</f>
        <v>593986119579</v>
      </c>
      <c r="H288" s="14" t="s">
        <v>917</v>
      </c>
      <c r="I288" s="14" t="s">
        <v>391</v>
      </c>
      <c r="J288" s="1"/>
      <c r="K288" s="1" t="s">
        <v>817</v>
      </c>
      <c r="L288" s="1"/>
      <c r="M288" s="1"/>
      <c r="N288" s="1"/>
      <c r="O288" s="1"/>
      <c r="P288" s="6" t="s">
        <v>133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21.75" hidden="false" customHeight="true" outlineLevel="0" collapsed="false">
      <c r="A289" s="4" t="n">
        <v>43461</v>
      </c>
      <c r="B289" s="18" t="s">
        <v>48</v>
      </c>
      <c r="C289" s="14" t="s">
        <v>26</v>
      </c>
      <c r="D289" s="14" t="s">
        <v>43</v>
      </c>
      <c r="E289" s="14" t="s">
        <v>44</v>
      </c>
      <c r="F289" s="14" t="s">
        <v>918</v>
      </c>
      <c r="G289" s="14" t="n">
        <f aca="false">+593998740805</f>
        <v>593998740805</v>
      </c>
      <c r="H289" s="14" t="s">
        <v>919</v>
      </c>
      <c r="I289" s="14" t="s">
        <v>216</v>
      </c>
      <c r="J289" s="1"/>
      <c r="K289" s="1" t="s">
        <v>920</v>
      </c>
      <c r="L289" s="1"/>
      <c r="M289" s="1"/>
      <c r="N289" s="1"/>
      <c r="O289" s="1"/>
      <c r="P289" s="6" t="s">
        <v>751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21.75" hidden="false" customHeight="true" outlineLevel="0" collapsed="false">
      <c r="A290" s="4" t="n">
        <v>43461</v>
      </c>
      <c r="B290" s="18" t="s">
        <v>48</v>
      </c>
      <c r="C290" s="14" t="s">
        <v>15</v>
      </c>
      <c r="D290" s="14" t="s">
        <v>43</v>
      </c>
      <c r="E290" s="14" t="s">
        <v>44</v>
      </c>
      <c r="F290" s="14" t="s">
        <v>921</v>
      </c>
      <c r="G290" s="14" t="n">
        <f aca="false">+593979916968</f>
        <v>593979916968</v>
      </c>
      <c r="H290" s="14" t="s">
        <v>922</v>
      </c>
      <c r="I290" s="14" t="s">
        <v>56</v>
      </c>
      <c r="J290" s="1"/>
      <c r="K290" s="1" t="s">
        <v>345</v>
      </c>
      <c r="L290" s="1" t="s">
        <v>923</v>
      </c>
      <c r="M290" s="1"/>
      <c r="N290" s="1"/>
      <c r="O290" s="1"/>
      <c r="P290" s="6" t="s">
        <v>133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21.75" hidden="false" customHeight="true" outlineLevel="0" collapsed="false">
      <c r="A291" s="4" t="n">
        <v>43461</v>
      </c>
      <c r="B291" s="18" t="s">
        <v>48</v>
      </c>
      <c r="C291" s="14" t="s">
        <v>15</v>
      </c>
      <c r="D291" s="14" t="s">
        <v>43</v>
      </c>
      <c r="E291" s="14" t="s">
        <v>44</v>
      </c>
      <c r="F291" s="14" t="s">
        <v>924</v>
      </c>
      <c r="G291" s="14" t="n">
        <f aca="false">+593987152446</f>
        <v>593987152446</v>
      </c>
      <c r="H291" s="14" t="s">
        <v>925</v>
      </c>
      <c r="I291" s="14" t="s">
        <v>563</v>
      </c>
      <c r="J291" s="1"/>
      <c r="K291" s="1" t="s">
        <v>926</v>
      </c>
      <c r="L291" s="1"/>
      <c r="M291" s="1"/>
      <c r="N291" s="1"/>
      <c r="O291" s="1"/>
      <c r="P291" s="6" t="s">
        <v>751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21.75" hidden="false" customHeight="true" outlineLevel="0" collapsed="false">
      <c r="A292" s="4" t="n">
        <v>43461</v>
      </c>
      <c r="B292" s="18" t="s">
        <v>48</v>
      </c>
      <c r="C292" s="14" t="s">
        <v>15</v>
      </c>
      <c r="D292" s="14" t="s">
        <v>43</v>
      </c>
      <c r="E292" s="14" t="s">
        <v>44</v>
      </c>
      <c r="F292" s="14" t="s">
        <v>927</v>
      </c>
      <c r="G292" s="14" t="n">
        <f aca="false">+593989562366</f>
        <v>593989562366</v>
      </c>
      <c r="H292" s="14" t="s">
        <v>928</v>
      </c>
      <c r="I292" s="14" t="s">
        <v>512</v>
      </c>
      <c r="J292" s="1"/>
      <c r="K292" s="1" t="s">
        <v>21</v>
      </c>
      <c r="L292" s="1" t="s">
        <v>929</v>
      </c>
      <c r="M292" s="1"/>
      <c r="N292" s="1"/>
      <c r="O292" s="1"/>
      <c r="P292" s="6" t="s">
        <v>21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21.75" hidden="false" customHeight="true" outlineLevel="0" collapsed="false">
      <c r="A293" s="4" t="n">
        <v>43461</v>
      </c>
      <c r="B293" s="18" t="s">
        <v>48</v>
      </c>
      <c r="C293" s="14" t="s">
        <v>15</v>
      </c>
      <c r="D293" s="14" t="s">
        <v>43</v>
      </c>
      <c r="E293" s="14" t="s">
        <v>44</v>
      </c>
      <c r="F293" s="14" t="s">
        <v>930</v>
      </c>
      <c r="G293" s="14" t="n">
        <f aca="false">+593979865853</f>
        <v>593979865853</v>
      </c>
      <c r="H293" s="14" t="s">
        <v>931</v>
      </c>
      <c r="I293" s="14" t="s">
        <v>932</v>
      </c>
      <c r="J293" s="1"/>
      <c r="K293" s="1" t="s">
        <v>21</v>
      </c>
      <c r="L293" s="1" t="s">
        <v>170</v>
      </c>
      <c r="M293" s="1"/>
      <c r="N293" s="1"/>
      <c r="O293" s="1"/>
      <c r="P293" s="6" t="s">
        <v>21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21.75" hidden="false" customHeight="true" outlineLevel="0" collapsed="false">
      <c r="A294" s="4" t="n">
        <v>43461</v>
      </c>
      <c r="B294" s="18" t="s">
        <v>48</v>
      </c>
      <c r="C294" s="14" t="s">
        <v>15</v>
      </c>
      <c r="D294" s="14" t="s">
        <v>43</v>
      </c>
      <c r="E294" s="14" t="s">
        <v>44</v>
      </c>
      <c r="F294" s="14" t="s">
        <v>933</v>
      </c>
      <c r="G294" s="14" t="n">
        <f aca="false">+593998758461</f>
        <v>593998758461</v>
      </c>
      <c r="H294" s="14" t="s">
        <v>934</v>
      </c>
      <c r="I294" s="14" t="s">
        <v>24</v>
      </c>
      <c r="J294" s="1"/>
      <c r="K294" s="1" t="s">
        <v>21</v>
      </c>
      <c r="L294" s="1" t="s">
        <v>21</v>
      </c>
      <c r="M294" s="1" t="s">
        <v>21</v>
      </c>
      <c r="N294" s="1"/>
      <c r="O294" s="1"/>
      <c r="P294" s="6" t="s">
        <v>21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21.75" hidden="false" customHeight="true" outlineLevel="0" collapsed="false">
      <c r="A295" s="4" t="n">
        <v>43461</v>
      </c>
      <c r="B295" s="18" t="s">
        <v>48</v>
      </c>
      <c r="C295" s="14" t="s">
        <v>15</v>
      </c>
      <c r="D295" s="14" t="s">
        <v>43</v>
      </c>
      <c r="E295" s="14" t="s">
        <v>44</v>
      </c>
      <c r="F295" s="14" t="s">
        <v>935</v>
      </c>
      <c r="G295" s="14" t="n">
        <f aca="false">+593999114583</f>
        <v>593999114583</v>
      </c>
      <c r="H295" s="14" t="s">
        <v>936</v>
      </c>
      <c r="I295" s="14" t="s">
        <v>24</v>
      </c>
      <c r="J295" s="1"/>
      <c r="K295" s="1" t="s">
        <v>21</v>
      </c>
      <c r="L295" s="1" t="s">
        <v>937</v>
      </c>
      <c r="M295" s="1"/>
      <c r="N295" s="1"/>
      <c r="O295" s="1"/>
      <c r="P295" s="6" t="s">
        <v>21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21.75" hidden="false" customHeight="true" outlineLevel="0" collapsed="false">
      <c r="A296" s="4" t="n">
        <v>43461</v>
      </c>
      <c r="B296" s="18" t="s">
        <v>415</v>
      </c>
      <c r="C296" s="14" t="s">
        <v>15</v>
      </c>
      <c r="D296" s="14" t="s">
        <v>43</v>
      </c>
      <c r="E296" s="14" t="s">
        <v>44</v>
      </c>
      <c r="F296" s="14" t="s">
        <v>938</v>
      </c>
      <c r="G296" s="14" t="n">
        <f aca="false">+593994619325</f>
        <v>593994619325</v>
      </c>
      <c r="H296" s="14" t="s">
        <v>939</v>
      </c>
      <c r="I296" s="14" t="s">
        <v>563</v>
      </c>
      <c r="J296" s="1"/>
      <c r="K296" s="1" t="s">
        <v>21</v>
      </c>
      <c r="L296" s="1" t="s">
        <v>21</v>
      </c>
      <c r="M296" s="1" t="s">
        <v>21</v>
      </c>
      <c r="N296" s="1"/>
      <c r="O296" s="1"/>
      <c r="P296" s="6" t="s">
        <v>21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21.75" hidden="false" customHeight="true" outlineLevel="0" collapsed="false">
      <c r="A297" s="4" t="n">
        <v>43461</v>
      </c>
      <c r="B297" s="18" t="s">
        <v>81</v>
      </c>
      <c r="C297" s="14" t="s">
        <v>26</v>
      </c>
      <c r="D297" s="14" t="s">
        <v>43</v>
      </c>
      <c r="E297" s="14" t="s">
        <v>44</v>
      </c>
      <c r="F297" s="14" t="s">
        <v>940</v>
      </c>
      <c r="G297" s="14" t="n">
        <f aca="false">+593984206889</f>
        <v>593984206889</v>
      </c>
      <c r="H297" s="14" t="s">
        <v>941</v>
      </c>
      <c r="I297" s="14" t="s">
        <v>942</v>
      </c>
      <c r="J297" s="1"/>
      <c r="K297" s="1" t="s">
        <v>21</v>
      </c>
      <c r="L297" s="1" t="s">
        <v>21</v>
      </c>
      <c r="M297" s="1" t="s">
        <v>21</v>
      </c>
      <c r="N297" s="1"/>
      <c r="O297" s="1"/>
      <c r="P297" s="6" t="s">
        <v>21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21.75" hidden="false" customHeight="true" outlineLevel="0" collapsed="false">
      <c r="A298" s="4" t="n">
        <v>43462</v>
      </c>
      <c r="B298" s="8" t="s">
        <v>42</v>
      </c>
      <c r="C298" s="14" t="s">
        <v>15</v>
      </c>
      <c r="D298" s="14" t="s">
        <v>43</v>
      </c>
      <c r="E298" s="14" t="s">
        <v>109</v>
      </c>
      <c r="F298" s="19" t="s">
        <v>943</v>
      </c>
      <c r="G298" s="18" t="n">
        <v>985064815</v>
      </c>
      <c r="H298" s="18" t="s">
        <v>944</v>
      </c>
      <c r="I298" s="18"/>
      <c r="J298" s="1"/>
      <c r="K298" s="1" t="s">
        <v>21</v>
      </c>
      <c r="L298" s="1" t="s">
        <v>21</v>
      </c>
      <c r="M298" s="1"/>
      <c r="N298" s="1"/>
      <c r="O298" s="1"/>
      <c r="P298" s="6" t="s">
        <v>21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21.75" hidden="false" customHeight="true" outlineLevel="0" collapsed="false">
      <c r="A299" s="4" t="n">
        <v>43462</v>
      </c>
      <c r="B299" s="18" t="s">
        <v>48</v>
      </c>
      <c r="C299" s="14" t="s">
        <v>15</v>
      </c>
      <c r="D299" s="14" t="s">
        <v>43</v>
      </c>
      <c r="E299" s="14" t="s">
        <v>44</v>
      </c>
      <c r="F299" s="14" t="s">
        <v>945</v>
      </c>
      <c r="G299" s="14" t="n">
        <f aca="false">+593985766600</f>
        <v>593985766600</v>
      </c>
      <c r="H299" s="14" t="s">
        <v>946</v>
      </c>
      <c r="I299" s="14" t="s">
        <v>61</v>
      </c>
      <c r="J299" s="14"/>
      <c r="K299" s="1" t="s">
        <v>21</v>
      </c>
      <c r="L299" s="1" t="s">
        <v>21</v>
      </c>
      <c r="M299" s="1" t="s">
        <v>947</v>
      </c>
      <c r="N299" s="1"/>
      <c r="O299" s="1"/>
      <c r="P299" s="6" t="s">
        <v>21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21.75" hidden="false" customHeight="true" outlineLevel="0" collapsed="false">
      <c r="A300" s="4" t="n">
        <v>43462</v>
      </c>
      <c r="B300" s="18" t="s">
        <v>48</v>
      </c>
      <c r="C300" s="14" t="s">
        <v>15</v>
      </c>
      <c r="D300" s="14" t="s">
        <v>43</v>
      </c>
      <c r="E300" s="14" t="s">
        <v>44</v>
      </c>
      <c r="F300" s="14" t="s">
        <v>948</v>
      </c>
      <c r="G300" s="14" t="n">
        <f aca="false">+593998894416</f>
        <v>593998894416</v>
      </c>
      <c r="H300" s="14" t="s">
        <v>949</v>
      </c>
      <c r="I300" s="14" t="s">
        <v>216</v>
      </c>
      <c r="J300" s="14"/>
      <c r="K300" s="1" t="s">
        <v>950</v>
      </c>
      <c r="L300" s="1"/>
      <c r="M300" s="1"/>
      <c r="N300" s="1"/>
      <c r="O300" s="1"/>
      <c r="P300" s="6" t="s">
        <v>133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21.75" hidden="false" customHeight="true" outlineLevel="0" collapsed="false">
      <c r="A301" s="4" t="n">
        <v>43462</v>
      </c>
      <c r="B301" s="18" t="s">
        <v>48</v>
      </c>
      <c r="C301" s="14" t="s">
        <v>26</v>
      </c>
      <c r="D301" s="14" t="s">
        <v>43</v>
      </c>
      <c r="E301" s="14" t="s">
        <v>44</v>
      </c>
      <c r="F301" s="14" t="s">
        <v>951</v>
      </c>
      <c r="G301" s="14" t="n">
        <f aca="false">+593992636867</f>
        <v>593992636867</v>
      </c>
      <c r="H301" s="14" t="s">
        <v>952</v>
      </c>
      <c r="I301" s="14" t="s">
        <v>953</v>
      </c>
      <c r="J301" s="14"/>
      <c r="K301" s="1" t="s">
        <v>954</v>
      </c>
      <c r="L301" s="1"/>
      <c r="M301" s="1"/>
      <c r="N301" s="1"/>
      <c r="O301" s="1"/>
      <c r="P301" s="6" t="s">
        <v>31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21.75" hidden="false" customHeight="true" outlineLevel="0" collapsed="false">
      <c r="A302" s="4" t="n">
        <v>43462</v>
      </c>
      <c r="B302" s="18" t="s">
        <v>48</v>
      </c>
      <c r="C302" s="14" t="s">
        <v>15</v>
      </c>
      <c r="D302" s="14" t="s">
        <v>43</v>
      </c>
      <c r="E302" s="14" t="s">
        <v>44</v>
      </c>
      <c r="F302" s="14" t="s">
        <v>955</v>
      </c>
      <c r="G302" s="14" t="n">
        <f aca="false">+593987288497</f>
        <v>593987288497</v>
      </c>
      <c r="H302" s="14" t="s">
        <v>956</v>
      </c>
      <c r="I302" s="14" t="s">
        <v>24</v>
      </c>
      <c r="J302" s="14"/>
      <c r="K302" s="1" t="s">
        <v>21</v>
      </c>
      <c r="L302" s="1" t="s">
        <v>21</v>
      </c>
      <c r="M302" s="1" t="s">
        <v>727</v>
      </c>
      <c r="N302" s="1"/>
      <c r="O302" s="1"/>
      <c r="P302" s="6" t="s">
        <v>21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21.75" hidden="false" customHeight="true" outlineLevel="0" collapsed="false">
      <c r="A303" s="4" t="n">
        <v>43462</v>
      </c>
      <c r="B303" s="18" t="s">
        <v>48</v>
      </c>
      <c r="C303" s="14" t="s">
        <v>26</v>
      </c>
      <c r="D303" s="14" t="s">
        <v>43</v>
      </c>
      <c r="E303" s="14" t="s">
        <v>44</v>
      </c>
      <c r="F303" s="14" t="s">
        <v>957</v>
      </c>
      <c r="G303" s="14" t="n">
        <f aca="false">+593986626702</f>
        <v>593986626702</v>
      </c>
      <c r="H303" s="14" t="s">
        <v>958</v>
      </c>
      <c r="I303" s="14" t="s">
        <v>959</v>
      </c>
      <c r="J303" s="14"/>
      <c r="K303" s="1" t="s">
        <v>960</v>
      </c>
      <c r="L303" s="1"/>
      <c r="M303" s="1"/>
      <c r="N303" s="1"/>
      <c r="O303" s="1"/>
      <c r="P303" s="6" t="s">
        <v>225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21.75" hidden="false" customHeight="true" outlineLevel="0" collapsed="false">
      <c r="A304" s="4" t="n">
        <v>43462</v>
      </c>
      <c r="B304" s="18" t="s">
        <v>48</v>
      </c>
      <c r="C304" s="14" t="s">
        <v>15</v>
      </c>
      <c r="D304" s="14" t="s">
        <v>43</v>
      </c>
      <c r="E304" s="14" t="s">
        <v>44</v>
      </c>
      <c r="F304" s="14" t="s">
        <v>961</v>
      </c>
      <c r="G304" s="14" t="n">
        <f aca="false">+5930993177000</f>
        <v>5930993177000</v>
      </c>
      <c r="H304" s="14" t="s">
        <v>962</v>
      </c>
      <c r="I304" s="14" t="s">
        <v>24</v>
      </c>
      <c r="J304" s="14"/>
      <c r="K304" s="1" t="s">
        <v>963</v>
      </c>
      <c r="L304" s="1"/>
      <c r="M304" s="1"/>
      <c r="N304" s="1"/>
      <c r="O304" s="1"/>
      <c r="P304" s="6" t="s">
        <v>31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21.75" hidden="false" customHeight="true" outlineLevel="0" collapsed="false">
      <c r="A305" s="4" t="n">
        <v>43462</v>
      </c>
      <c r="B305" s="18" t="s">
        <v>964</v>
      </c>
      <c r="C305" s="14" t="s">
        <v>15</v>
      </c>
      <c r="D305" s="14" t="s">
        <v>43</v>
      </c>
      <c r="E305" s="8" t="s">
        <v>17</v>
      </c>
      <c r="F305" s="19" t="s">
        <v>965</v>
      </c>
      <c r="G305" s="18" t="n">
        <v>980916954</v>
      </c>
      <c r="H305" s="18" t="s">
        <v>966</v>
      </c>
      <c r="I305" s="18"/>
      <c r="J305" s="1"/>
      <c r="K305" s="1" t="s">
        <v>21</v>
      </c>
      <c r="L305" s="1" t="s">
        <v>21</v>
      </c>
      <c r="M305" s="1"/>
      <c r="N305" s="1"/>
      <c r="O305" s="1"/>
      <c r="P305" s="6" t="s">
        <v>21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21.75" hidden="false" customHeight="true" outlineLevel="0" collapsed="false">
      <c r="A306" s="4" t="n">
        <v>43462</v>
      </c>
      <c r="B306" s="18" t="s">
        <v>415</v>
      </c>
      <c r="C306" s="14" t="s">
        <v>26</v>
      </c>
      <c r="D306" s="14" t="s">
        <v>43</v>
      </c>
      <c r="E306" s="14" t="s">
        <v>44</v>
      </c>
      <c r="F306" s="14" t="s">
        <v>967</v>
      </c>
      <c r="G306" s="14" t="n">
        <f aca="false">+593991102395</f>
        <v>593991102395</v>
      </c>
      <c r="H306" s="14" t="s">
        <v>968</v>
      </c>
      <c r="I306" s="14" t="s">
        <v>969</v>
      </c>
      <c r="J306" s="14"/>
      <c r="K306" s="1" t="s">
        <v>21</v>
      </c>
      <c r="L306" s="1" t="s">
        <v>21</v>
      </c>
      <c r="M306" s="1" t="s">
        <v>441</v>
      </c>
      <c r="N306" s="1"/>
      <c r="O306" s="1"/>
      <c r="P306" s="6" t="s">
        <v>21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21.75" hidden="false" customHeight="true" outlineLevel="0" collapsed="false">
      <c r="A307" s="4" t="n">
        <v>43462</v>
      </c>
      <c r="B307" s="18" t="s">
        <v>178</v>
      </c>
      <c r="C307" s="14" t="s">
        <v>15</v>
      </c>
      <c r="D307" s="14" t="s">
        <v>43</v>
      </c>
      <c r="E307" s="14" t="s">
        <v>44</v>
      </c>
      <c r="F307" s="14" t="s">
        <v>970</v>
      </c>
      <c r="G307" s="14" t="n">
        <f aca="false">+5930968720762</f>
        <v>5930968720762</v>
      </c>
      <c r="H307" s="14" t="s">
        <v>971</v>
      </c>
      <c r="I307" s="14" t="s">
        <v>972</v>
      </c>
      <c r="J307" s="14"/>
      <c r="K307" s="1" t="s">
        <v>541</v>
      </c>
      <c r="L307" s="1"/>
      <c r="M307" s="1"/>
      <c r="N307" s="1"/>
      <c r="O307" s="1"/>
      <c r="P307" s="6" t="s">
        <v>133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21.75" hidden="false" customHeight="true" outlineLevel="0" collapsed="false">
      <c r="A308" s="4" t="n">
        <v>43462</v>
      </c>
      <c r="B308" s="18" t="s">
        <v>81</v>
      </c>
      <c r="C308" s="14" t="s">
        <v>15</v>
      </c>
      <c r="D308" s="14" t="s">
        <v>43</v>
      </c>
      <c r="E308" s="14" t="s">
        <v>44</v>
      </c>
      <c r="F308" s="14" t="s">
        <v>973</v>
      </c>
      <c r="G308" s="14" t="n">
        <f aca="false">+593993020379</f>
        <v>593993020379</v>
      </c>
      <c r="H308" s="14" t="s">
        <v>974</v>
      </c>
      <c r="I308" s="14" t="s">
        <v>975</v>
      </c>
      <c r="J308" s="14"/>
      <c r="K308" s="1" t="s">
        <v>21</v>
      </c>
      <c r="L308" s="1" t="s">
        <v>21</v>
      </c>
      <c r="M308" s="1" t="s">
        <v>21</v>
      </c>
      <c r="N308" s="1"/>
      <c r="O308" s="1"/>
      <c r="P308" s="6" t="s">
        <v>21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21.75" hidden="false" customHeight="true" outlineLevel="0" collapsed="false">
      <c r="A309" s="4" t="n">
        <v>43462</v>
      </c>
      <c r="B309" s="18" t="s">
        <v>81</v>
      </c>
      <c r="C309" s="14" t="s">
        <v>15</v>
      </c>
      <c r="D309" s="14" t="s">
        <v>43</v>
      </c>
      <c r="E309" s="14" t="s">
        <v>44</v>
      </c>
      <c r="F309" s="14" t="s">
        <v>976</v>
      </c>
      <c r="G309" s="14" t="n">
        <f aca="false">+593997453972</f>
        <v>593997453972</v>
      </c>
      <c r="H309" s="14" t="s">
        <v>977</v>
      </c>
      <c r="I309" s="14" t="s">
        <v>559</v>
      </c>
      <c r="J309" s="14"/>
      <c r="K309" s="1" t="s">
        <v>21</v>
      </c>
      <c r="L309" s="1" t="s">
        <v>21</v>
      </c>
      <c r="M309" s="1" t="s">
        <v>978</v>
      </c>
      <c r="N309" s="1"/>
      <c r="O309" s="1"/>
      <c r="P309" s="6" t="s">
        <v>21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21.75" hidden="false" customHeight="true" outlineLevel="0" collapsed="false">
      <c r="A310" s="4" t="n">
        <v>43467</v>
      </c>
      <c r="B310" s="8" t="s">
        <v>42</v>
      </c>
      <c r="C310" s="14" t="s">
        <v>15</v>
      </c>
      <c r="D310" s="14" t="s">
        <v>43</v>
      </c>
      <c r="E310" s="14" t="s">
        <v>44</v>
      </c>
      <c r="F310" s="14" t="s">
        <v>979</v>
      </c>
      <c r="G310" s="14" t="n">
        <f aca="false">+593993834317</f>
        <v>593993834317</v>
      </c>
      <c r="H310" s="14" t="s">
        <v>980</v>
      </c>
      <c r="I310" s="14" t="s">
        <v>24</v>
      </c>
      <c r="J310" s="14"/>
      <c r="K310" s="1" t="s">
        <v>21</v>
      </c>
      <c r="L310" s="1" t="s">
        <v>21</v>
      </c>
      <c r="M310" s="1"/>
      <c r="N310" s="1"/>
      <c r="O310" s="1"/>
      <c r="P310" s="6" t="s">
        <v>21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21.75" hidden="false" customHeight="true" outlineLevel="0" collapsed="false">
      <c r="A311" s="4" t="n">
        <v>43467</v>
      </c>
      <c r="B311" s="8" t="s">
        <v>42</v>
      </c>
      <c r="C311" s="14" t="s">
        <v>15</v>
      </c>
      <c r="D311" s="14" t="s">
        <v>43</v>
      </c>
      <c r="E311" s="14" t="s">
        <v>44</v>
      </c>
      <c r="F311" s="14" t="s">
        <v>981</v>
      </c>
      <c r="G311" s="14" t="n">
        <f aca="false">+593993014946</f>
        <v>593993014946</v>
      </c>
      <c r="H311" s="14" t="s">
        <v>982</v>
      </c>
      <c r="I311" s="14" t="s">
        <v>736</v>
      </c>
      <c r="J311" s="14"/>
      <c r="K311" s="1" t="s">
        <v>21</v>
      </c>
      <c r="L311" s="1" t="s">
        <v>21</v>
      </c>
      <c r="M311" s="1"/>
      <c r="N311" s="1"/>
      <c r="O311" s="1"/>
      <c r="P311" s="6" t="s">
        <v>21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21.75" hidden="false" customHeight="true" outlineLevel="0" collapsed="false">
      <c r="A312" s="4" t="n">
        <v>43467</v>
      </c>
      <c r="B312" s="8" t="s">
        <v>42</v>
      </c>
      <c r="C312" s="14" t="s">
        <v>15</v>
      </c>
      <c r="D312" s="14" t="s">
        <v>43</v>
      </c>
      <c r="E312" s="14" t="s">
        <v>109</v>
      </c>
      <c r="F312" s="19" t="s">
        <v>983</v>
      </c>
      <c r="G312" s="18" t="n">
        <v>994931254</v>
      </c>
      <c r="H312" s="18" t="s">
        <v>984</v>
      </c>
      <c r="I312" s="18"/>
      <c r="J312" s="1"/>
      <c r="K312" s="1" t="s">
        <v>985</v>
      </c>
      <c r="L312" s="1" t="s">
        <v>21</v>
      </c>
      <c r="M312" s="1"/>
      <c r="N312" s="1"/>
      <c r="O312" s="1"/>
      <c r="P312" s="6" t="s">
        <v>133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21.75" hidden="false" customHeight="true" outlineLevel="0" collapsed="false">
      <c r="A313" s="4" t="n">
        <v>43467</v>
      </c>
      <c r="B313" s="18" t="s">
        <v>48</v>
      </c>
      <c r="C313" s="14" t="s">
        <v>15</v>
      </c>
      <c r="D313" s="14" t="s">
        <v>43</v>
      </c>
      <c r="E313" s="14" t="s">
        <v>44</v>
      </c>
      <c r="F313" s="14" t="s">
        <v>986</v>
      </c>
      <c r="G313" s="14" t="n">
        <f aca="false">+593999854358</f>
        <v>593999854358</v>
      </c>
      <c r="H313" s="14" t="s">
        <v>987</v>
      </c>
      <c r="I313" s="14" t="s">
        <v>68</v>
      </c>
      <c r="J313" s="14"/>
      <c r="K313" s="1" t="s">
        <v>21</v>
      </c>
      <c r="L313" s="1" t="s">
        <v>21</v>
      </c>
      <c r="M313" s="1"/>
      <c r="N313" s="1"/>
      <c r="O313" s="1"/>
      <c r="P313" s="6" t="s">
        <v>21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21.75" hidden="false" customHeight="true" outlineLevel="0" collapsed="false">
      <c r="A314" s="4" t="n">
        <v>43467</v>
      </c>
      <c r="B314" s="18" t="s">
        <v>48</v>
      </c>
      <c r="C314" s="14" t="s">
        <v>15</v>
      </c>
      <c r="D314" s="14" t="s">
        <v>43</v>
      </c>
      <c r="E314" s="14" t="s">
        <v>44</v>
      </c>
      <c r="F314" s="14" t="s">
        <v>988</v>
      </c>
      <c r="G314" s="14" t="n">
        <f aca="false">+5930939654277</f>
        <v>5930939654277</v>
      </c>
      <c r="H314" s="14" t="s">
        <v>989</v>
      </c>
      <c r="I314" s="14" t="s">
        <v>356</v>
      </c>
      <c r="J314" s="14"/>
      <c r="K314" s="1" t="s">
        <v>21</v>
      </c>
      <c r="L314" s="1" t="s">
        <v>21</v>
      </c>
      <c r="M314" s="1"/>
      <c r="N314" s="1"/>
      <c r="O314" s="1"/>
      <c r="P314" s="6" t="s">
        <v>21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21.75" hidden="false" customHeight="true" outlineLevel="0" collapsed="false">
      <c r="A315" s="4" t="n">
        <v>43467</v>
      </c>
      <c r="B315" s="18" t="s">
        <v>48</v>
      </c>
      <c r="C315" s="14" t="s">
        <v>26</v>
      </c>
      <c r="D315" s="14" t="s">
        <v>43</v>
      </c>
      <c r="E315" s="14" t="s">
        <v>44</v>
      </c>
      <c r="F315" s="14" t="s">
        <v>990</v>
      </c>
      <c r="G315" s="14" t="n">
        <f aca="false">+593997474936</f>
        <v>593997474936</v>
      </c>
      <c r="H315" s="14" t="s">
        <v>991</v>
      </c>
      <c r="I315" s="14" t="s">
        <v>24</v>
      </c>
      <c r="J315" s="14"/>
      <c r="K315" s="1" t="s">
        <v>727</v>
      </c>
      <c r="L315" s="1" t="s">
        <v>21</v>
      </c>
      <c r="M315" s="1"/>
      <c r="N315" s="1"/>
      <c r="O315" s="1"/>
      <c r="P315" s="6" t="s">
        <v>133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21.75" hidden="false" customHeight="true" outlineLevel="0" collapsed="false">
      <c r="A316" s="4" t="n">
        <v>43467</v>
      </c>
      <c r="B316" s="18" t="s">
        <v>48</v>
      </c>
      <c r="C316" s="14" t="s">
        <v>15</v>
      </c>
      <c r="D316" s="14" t="s">
        <v>43</v>
      </c>
      <c r="E316" s="14" t="s">
        <v>44</v>
      </c>
      <c r="F316" s="14" t="s">
        <v>992</v>
      </c>
      <c r="G316" s="14" t="n">
        <f aca="false">+5930984109020</f>
        <v>5930984109020</v>
      </c>
      <c r="H316" s="14" t="s">
        <v>993</v>
      </c>
      <c r="I316" s="14" t="s">
        <v>563</v>
      </c>
      <c r="J316" s="14"/>
      <c r="K316" s="1" t="s">
        <v>21</v>
      </c>
      <c r="L316" s="1" t="s">
        <v>21</v>
      </c>
      <c r="M316" s="1"/>
      <c r="N316" s="1"/>
      <c r="O316" s="1"/>
      <c r="P316" s="6" t="s">
        <v>21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21.75" hidden="false" customHeight="true" outlineLevel="0" collapsed="false">
      <c r="A317" s="4" t="n">
        <v>43467</v>
      </c>
      <c r="B317" s="18" t="s">
        <v>48</v>
      </c>
      <c r="C317" s="14" t="s">
        <v>15</v>
      </c>
      <c r="D317" s="14" t="s">
        <v>43</v>
      </c>
      <c r="E317" s="14" t="s">
        <v>44</v>
      </c>
      <c r="F317" s="14" t="s">
        <v>994</v>
      </c>
      <c r="G317" s="14" t="n">
        <f aca="false">+593987858360</f>
        <v>593987858360</v>
      </c>
      <c r="H317" s="14" t="s">
        <v>995</v>
      </c>
      <c r="I317" s="14" t="s">
        <v>68</v>
      </c>
      <c r="J317" s="14"/>
      <c r="K317" s="1" t="s">
        <v>650</v>
      </c>
      <c r="L317" s="1" t="s">
        <v>228</v>
      </c>
      <c r="M317" s="1"/>
      <c r="N317" s="1"/>
      <c r="O317" s="1"/>
      <c r="P317" s="6" t="s">
        <v>31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21.75" hidden="false" customHeight="true" outlineLevel="0" collapsed="false">
      <c r="A318" s="4" t="n">
        <v>43467</v>
      </c>
      <c r="B318" s="18" t="s">
        <v>48</v>
      </c>
      <c r="C318" s="14" t="s">
        <v>15</v>
      </c>
      <c r="D318" s="14" t="s">
        <v>43</v>
      </c>
      <c r="E318" s="14" t="s">
        <v>44</v>
      </c>
      <c r="F318" s="14" t="s">
        <v>996</v>
      </c>
      <c r="G318" s="14" t="n">
        <f aca="false">+593958964808</f>
        <v>593958964808</v>
      </c>
      <c r="H318" s="14" t="s">
        <v>997</v>
      </c>
      <c r="I318" s="14" t="s">
        <v>508</v>
      </c>
      <c r="J318" s="14"/>
      <c r="K318" s="1" t="s">
        <v>21</v>
      </c>
      <c r="L318" s="1" t="s">
        <v>21</v>
      </c>
      <c r="M318" s="1"/>
      <c r="N318" s="1"/>
      <c r="O318" s="1"/>
      <c r="P318" s="6" t="s">
        <v>21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21.75" hidden="false" customHeight="true" outlineLevel="0" collapsed="false">
      <c r="A319" s="4" t="n">
        <v>43467</v>
      </c>
      <c r="B319" s="18" t="s">
        <v>48</v>
      </c>
      <c r="C319" s="14" t="s">
        <v>15</v>
      </c>
      <c r="D319" s="14" t="s">
        <v>43</v>
      </c>
      <c r="E319" s="14" t="s">
        <v>44</v>
      </c>
      <c r="F319" s="14" t="s">
        <v>998</v>
      </c>
      <c r="G319" s="14" t="n">
        <f aca="false">+5930978992860</f>
        <v>5930978992860</v>
      </c>
      <c r="H319" s="14" t="s">
        <v>999</v>
      </c>
      <c r="I319" s="14" t="s">
        <v>563</v>
      </c>
      <c r="J319" s="14"/>
      <c r="K319" s="1" t="s">
        <v>21</v>
      </c>
      <c r="L319" s="1" t="s">
        <v>21</v>
      </c>
      <c r="M319" s="1"/>
      <c r="N319" s="1"/>
      <c r="O319" s="1"/>
      <c r="P319" s="6" t="s">
        <v>21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21.75" hidden="false" customHeight="true" outlineLevel="0" collapsed="false">
      <c r="A320" s="4" t="n">
        <v>43467</v>
      </c>
      <c r="B320" s="18" t="s">
        <v>48</v>
      </c>
      <c r="C320" s="14" t="s">
        <v>15</v>
      </c>
      <c r="D320" s="14" t="s">
        <v>43</v>
      </c>
      <c r="E320" s="14" t="s">
        <v>44</v>
      </c>
      <c r="F320" s="14" t="s">
        <v>1000</v>
      </c>
      <c r="G320" s="14" t="n">
        <f aca="false">+593994213934</f>
        <v>593994213934</v>
      </c>
      <c r="H320" s="14" t="s">
        <v>1001</v>
      </c>
      <c r="I320" s="14" t="s">
        <v>24</v>
      </c>
      <c r="J320" s="14"/>
      <c r="K320" s="1" t="s">
        <v>21</v>
      </c>
      <c r="L320" s="1" t="s">
        <v>1002</v>
      </c>
      <c r="M320" s="1" t="s">
        <v>1003</v>
      </c>
      <c r="N320" s="1" t="s">
        <v>1004</v>
      </c>
      <c r="O320" s="1"/>
      <c r="P320" s="6" t="s">
        <v>462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21.75" hidden="false" customHeight="true" outlineLevel="0" collapsed="false">
      <c r="A321" s="4" t="n">
        <v>43467</v>
      </c>
      <c r="B321" s="18" t="s">
        <v>48</v>
      </c>
      <c r="C321" s="14" t="s">
        <v>15</v>
      </c>
      <c r="D321" s="14" t="s">
        <v>43</v>
      </c>
      <c r="E321" s="14" t="s">
        <v>44</v>
      </c>
      <c r="F321" s="14" t="s">
        <v>1005</v>
      </c>
      <c r="G321" s="14" t="n">
        <f aca="false">+593998952397</f>
        <v>593998952397</v>
      </c>
      <c r="H321" s="14" t="s">
        <v>1006</v>
      </c>
      <c r="I321" s="14" t="s">
        <v>736</v>
      </c>
      <c r="J321" s="14"/>
      <c r="K321" s="1" t="s">
        <v>21</v>
      </c>
      <c r="L321" s="1" t="s">
        <v>21</v>
      </c>
      <c r="M321" s="1"/>
      <c r="N321" s="1"/>
      <c r="O321" s="1"/>
      <c r="P321" s="6" t="s">
        <v>21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21.75" hidden="false" customHeight="true" outlineLevel="0" collapsed="false">
      <c r="A322" s="4" t="n">
        <v>43467</v>
      </c>
      <c r="B322" s="18" t="s">
        <v>48</v>
      </c>
      <c r="C322" s="14" t="s">
        <v>15</v>
      </c>
      <c r="D322" s="14" t="s">
        <v>43</v>
      </c>
      <c r="E322" s="14" t="s">
        <v>44</v>
      </c>
      <c r="F322" s="19" t="s">
        <v>1007</v>
      </c>
      <c r="G322" s="18" t="n">
        <v>987858360</v>
      </c>
      <c r="H322" s="18" t="s">
        <v>1008</v>
      </c>
      <c r="I322" s="18"/>
      <c r="J322" s="1"/>
      <c r="K322" s="1" t="s">
        <v>21</v>
      </c>
      <c r="L322" s="1" t="s">
        <v>21</v>
      </c>
      <c r="M322" s="1"/>
      <c r="N322" s="1"/>
      <c r="O322" s="1"/>
      <c r="P322" s="6" t="s">
        <v>21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21.75" hidden="false" customHeight="true" outlineLevel="0" collapsed="false">
      <c r="A323" s="4" t="n">
        <v>43467</v>
      </c>
      <c r="B323" s="18" t="s">
        <v>48</v>
      </c>
      <c r="C323" s="14" t="s">
        <v>15</v>
      </c>
      <c r="D323" s="14" t="s">
        <v>43</v>
      </c>
      <c r="E323" s="14" t="s">
        <v>44</v>
      </c>
      <c r="F323" s="19" t="s">
        <v>1009</v>
      </c>
      <c r="G323" s="18" t="n">
        <v>1313013532</v>
      </c>
      <c r="H323" s="18" t="s">
        <v>1010</v>
      </c>
      <c r="I323" s="18"/>
      <c r="J323" s="1"/>
      <c r="K323" s="1" t="s">
        <v>294</v>
      </c>
      <c r="L323" s="1"/>
      <c r="M323" s="1"/>
      <c r="N323" s="1"/>
      <c r="O323" s="1"/>
      <c r="P323" s="6" t="s">
        <v>21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21.75" hidden="false" customHeight="true" outlineLevel="0" collapsed="false">
      <c r="A324" s="4" t="n">
        <v>43467</v>
      </c>
      <c r="B324" s="18" t="s">
        <v>127</v>
      </c>
      <c r="C324" s="14" t="s">
        <v>15</v>
      </c>
      <c r="D324" s="14" t="s">
        <v>43</v>
      </c>
      <c r="E324" s="14" t="s">
        <v>44</v>
      </c>
      <c r="F324" s="14" t="s">
        <v>1011</v>
      </c>
      <c r="G324" s="14" t="n">
        <f aca="false">+593958842375</f>
        <v>593958842375</v>
      </c>
      <c r="H324" s="14" t="s">
        <v>1012</v>
      </c>
      <c r="I324" s="14" t="s">
        <v>68</v>
      </c>
      <c r="J324" s="14"/>
      <c r="K324" s="1" t="s">
        <v>21</v>
      </c>
      <c r="L324" s="1" t="s">
        <v>21</v>
      </c>
      <c r="M324" s="1"/>
      <c r="N324" s="1"/>
      <c r="O324" s="1"/>
      <c r="P324" s="6" t="s">
        <v>21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21.75" hidden="false" customHeight="true" outlineLevel="0" collapsed="false">
      <c r="A325" s="4" t="n">
        <v>43467</v>
      </c>
      <c r="B325" s="18" t="s">
        <v>127</v>
      </c>
      <c r="C325" s="14" t="s">
        <v>15</v>
      </c>
      <c r="D325" s="14" t="s">
        <v>43</v>
      </c>
      <c r="E325" s="14" t="s">
        <v>44</v>
      </c>
      <c r="F325" s="14" t="s">
        <v>1013</v>
      </c>
      <c r="G325" s="14" t="n">
        <f aca="false">+593979019756</f>
        <v>593979019756</v>
      </c>
      <c r="H325" s="14" t="s">
        <v>1014</v>
      </c>
      <c r="I325" s="14" t="s">
        <v>68</v>
      </c>
      <c r="J325" s="14"/>
      <c r="K325" s="1" t="s">
        <v>1015</v>
      </c>
      <c r="L325" s="1" t="s">
        <v>1016</v>
      </c>
      <c r="M325" s="1"/>
      <c r="N325" s="1"/>
      <c r="O325" s="1"/>
      <c r="P325" s="6" t="s">
        <v>31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21.75" hidden="false" customHeight="true" outlineLevel="0" collapsed="false">
      <c r="A326" s="4" t="n">
        <v>43467</v>
      </c>
      <c r="B326" s="18" t="s">
        <v>127</v>
      </c>
      <c r="C326" s="14" t="s">
        <v>15</v>
      </c>
      <c r="D326" s="14" t="s">
        <v>43</v>
      </c>
      <c r="E326" s="14" t="s">
        <v>44</v>
      </c>
      <c r="F326" s="14" t="s">
        <v>1017</v>
      </c>
      <c r="G326" s="14" t="n">
        <f aca="false">+593959905698</f>
        <v>593959905698</v>
      </c>
      <c r="H326" s="14" t="s">
        <v>1018</v>
      </c>
      <c r="I326" s="14" t="s">
        <v>68</v>
      </c>
      <c r="J326" s="14"/>
      <c r="K326" s="1" t="s">
        <v>1019</v>
      </c>
      <c r="L326" s="1" t="s">
        <v>1020</v>
      </c>
      <c r="M326" s="1"/>
      <c r="N326" s="1"/>
      <c r="O326" s="1"/>
      <c r="P326" s="6" t="s">
        <v>133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21.75" hidden="false" customHeight="true" outlineLevel="0" collapsed="false">
      <c r="A327" s="4" t="n">
        <v>43467</v>
      </c>
      <c r="B327" s="18" t="s">
        <v>127</v>
      </c>
      <c r="C327" s="14" t="s">
        <v>15</v>
      </c>
      <c r="D327" s="14" t="s">
        <v>43</v>
      </c>
      <c r="E327" s="14" t="s">
        <v>109</v>
      </c>
      <c r="F327" s="19" t="s">
        <v>1021</v>
      </c>
      <c r="G327" s="18" t="n">
        <v>960817683</v>
      </c>
      <c r="H327" s="18"/>
      <c r="I327" s="18"/>
      <c r="J327" s="1"/>
      <c r="K327" s="1" t="s">
        <v>21</v>
      </c>
      <c r="L327" s="1" t="s">
        <v>1022</v>
      </c>
      <c r="M327" s="1"/>
      <c r="N327" s="1"/>
      <c r="O327" s="1"/>
      <c r="P327" s="6" t="s">
        <v>21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21.75" hidden="false" customHeight="true" outlineLevel="0" collapsed="false">
      <c r="A328" s="4" t="n">
        <v>43467</v>
      </c>
      <c r="B328" s="18" t="s">
        <v>415</v>
      </c>
      <c r="C328" s="14" t="s">
        <v>15</v>
      </c>
      <c r="D328" s="14" t="s">
        <v>43</v>
      </c>
      <c r="E328" s="14" t="s">
        <v>44</v>
      </c>
      <c r="F328" s="14" t="s">
        <v>1023</v>
      </c>
      <c r="G328" s="14" t="n">
        <f aca="false">+593995630766</f>
        <v>593995630766</v>
      </c>
      <c r="H328" s="14" t="s">
        <v>1024</v>
      </c>
      <c r="I328" s="14" t="s">
        <v>24</v>
      </c>
      <c r="J328" s="14"/>
      <c r="K328" s="1" t="s">
        <v>21</v>
      </c>
      <c r="L328" s="1" t="s">
        <v>21</v>
      </c>
      <c r="M328" s="1"/>
      <c r="N328" s="1"/>
      <c r="O328" s="1"/>
      <c r="P328" s="6" t="s">
        <v>21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21.75" hidden="false" customHeight="true" outlineLevel="0" collapsed="false">
      <c r="A329" s="4" t="n">
        <v>43467</v>
      </c>
      <c r="B329" s="18" t="s">
        <v>415</v>
      </c>
      <c r="C329" s="14" t="s">
        <v>15</v>
      </c>
      <c r="D329" s="14" t="s">
        <v>43</v>
      </c>
      <c r="E329" s="14" t="s">
        <v>44</v>
      </c>
      <c r="F329" s="14" t="s">
        <v>1025</v>
      </c>
      <c r="G329" s="14" t="n">
        <f aca="false">+593999882483</f>
        <v>593999882483</v>
      </c>
      <c r="H329" s="14" t="s">
        <v>1026</v>
      </c>
      <c r="I329" s="14" t="s">
        <v>356</v>
      </c>
      <c r="J329" s="14"/>
      <c r="K329" s="1" t="s">
        <v>1027</v>
      </c>
      <c r="L329" s="1" t="s">
        <v>21</v>
      </c>
      <c r="M329" s="1"/>
      <c r="N329" s="1"/>
      <c r="O329" s="1"/>
      <c r="P329" s="6" t="s">
        <v>21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21.75" hidden="false" customHeight="true" outlineLevel="0" collapsed="false">
      <c r="A330" s="4" t="n">
        <v>43467</v>
      </c>
      <c r="B330" s="18" t="s">
        <v>415</v>
      </c>
      <c r="C330" s="14" t="s">
        <v>15</v>
      </c>
      <c r="D330" s="14" t="s">
        <v>43</v>
      </c>
      <c r="E330" s="14" t="s">
        <v>44</v>
      </c>
      <c r="F330" s="14" t="s">
        <v>1028</v>
      </c>
      <c r="G330" s="14" t="n">
        <f aca="false">+593991139797</f>
        <v>593991139797</v>
      </c>
      <c r="H330" s="14" t="s">
        <v>1029</v>
      </c>
      <c r="I330" s="14" t="s">
        <v>61</v>
      </c>
      <c r="J330" s="14"/>
      <c r="K330" s="1" t="s">
        <v>36</v>
      </c>
      <c r="L330" s="1" t="s">
        <v>1030</v>
      </c>
      <c r="M330" s="1"/>
      <c r="N330" s="1"/>
      <c r="O330" s="1"/>
      <c r="P330" s="6" t="s">
        <v>133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21.75" hidden="false" customHeight="true" outlineLevel="0" collapsed="false">
      <c r="A331" s="4" t="n">
        <v>43467</v>
      </c>
      <c r="B331" s="18" t="s">
        <v>415</v>
      </c>
      <c r="C331" s="14" t="s">
        <v>15</v>
      </c>
      <c r="D331" s="14" t="s">
        <v>43</v>
      </c>
      <c r="E331" s="14" t="s">
        <v>44</v>
      </c>
      <c r="F331" s="14" t="s">
        <v>1031</v>
      </c>
      <c r="G331" s="14" t="n">
        <f aca="false">+5930992284310</f>
        <v>5930992284310</v>
      </c>
      <c r="H331" s="14" t="s">
        <v>1032</v>
      </c>
      <c r="I331" s="14" t="s">
        <v>1033</v>
      </c>
      <c r="J331" s="14"/>
      <c r="K331" s="1" t="s">
        <v>1034</v>
      </c>
      <c r="L331" s="1" t="s">
        <v>1035</v>
      </c>
      <c r="M331" s="1"/>
      <c r="N331" s="1"/>
      <c r="O331" s="1"/>
      <c r="P331" s="6" t="s">
        <v>887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21.75" hidden="false" customHeight="true" outlineLevel="0" collapsed="false">
      <c r="A332" s="4" t="n">
        <v>43467</v>
      </c>
      <c r="B332" s="18" t="s">
        <v>415</v>
      </c>
      <c r="C332" s="14" t="s">
        <v>15</v>
      </c>
      <c r="D332" s="14" t="s">
        <v>43</v>
      </c>
      <c r="E332" s="14" t="s">
        <v>44</v>
      </c>
      <c r="F332" s="14" t="s">
        <v>1036</v>
      </c>
      <c r="G332" s="14" t="n">
        <f aca="false">+593999241785</f>
        <v>593999241785</v>
      </c>
      <c r="H332" s="14" t="s">
        <v>1037</v>
      </c>
      <c r="I332" s="14" t="s">
        <v>24</v>
      </c>
      <c r="J332" s="14"/>
      <c r="K332" s="1" t="s">
        <v>21</v>
      </c>
      <c r="L332" s="1" t="s">
        <v>21</v>
      </c>
      <c r="M332" s="1"/>
      <c r="N332" s="1"/>
      <c r="O332" s="1"/>
      <c r="P332" s="6" t="s">
        <v>21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21.75" hidden="false" customHeight="true" outlineLevel="0" collapsed="false">
      <c r="A333" s="4" t="n">
        <v>43467</v>
      </c>
      <c r="B333" s="18" t="s">
        <v>415</v>
      </c>
      <c r="C333" s="14" t="s">
        <v>15</v>
      </c>
      <c r="D333" s="14" t="s">
        <v>43</v>
      </c>
      <c r="E333" s="14" t="s">
        <v>44</v>
      </c>
      <c r="F333" s="14" t="s">
        <v>1038</v>
      </c>
      <c r="G333" s="14" t="n">
        <f aca="false">+593968555184</f>
        <v>593968555184</v>
      </c>
      <c r="H333" s="14" t="s">
        <v>1039</v>
      </c>
      <c r="I333" s="14" t="s">
        <v>1040</v>
      </c>
      <c r="J333" s="14"/>
      <c r="K333" s="1" t="s">
        <v>1002</v>
      </c>
      <c r="L333" s="1" t="s">
        <v>21</v>
      </c>
      <c r="M333" s="1"/>
      <c r="N333" s="1"/>
      <c r="O333" s="1"/>
      <c r="P333" s="6" t="s">
        <v>133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21.75" hidden="false" customHeight="true" outlineLevel="0" collapsed="false">
      <c r="A334" s="4" t="n">
        <v>43467</v>
      </c>
      <c r="B334" s="18" t="s">
        <v>178</v>
      </c>
      <c r="C334" s="14" t="s">
        <v>26</v>
      </c>
      <c r="D334" s="14" t="s">
        <v>43</v>
      </c>
      <c r="E334" s="14" t="s">
        <v>44</v>
      </c>
      <c r="F334" s="14" t="s">
        <v>1041</v>
      </c>
      <c r="G334" s="14" t="n">
        <f aca="false">+593959439912</f>
        <v>593959439912</v>
      </c>
      <c r="H334" s="14" t="s">
        <v>1042</v>
      </c>
      <c r="I334" s="14" t="s">
        <v>61</v>
      </c>
      <c r="J334" s="14"/>
      <c r="K334" s="1" t="s">
        <v>21</v>
      </c>
      <c r="L334" s="1" t="s">
        <v>21</v>
      </c>
      <c r="M334" s="1"/>
      <c r="N334" s="1"/>
      <c r="O334" s="1"/>
      <c r="P334" s="6" t="s">
        <v>21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21.75" hidden="false" customHeight="true" outlineLevel="0" collapsed="false">
      <c r="A335" s="4" t="n">
        <v>43467</v>
      </c>
      <c r="B335" s="18" t="s">
        <v>178</v>
      </c>
      <c r="C335" s="14" t="s">
        <v>15</v>
      </c>
      <c r="D335" s="14" t="s">
        <v>43</v>
      </c>
      <c r="E335" s="14" t="s">
        <v>44</v>
      </c>
      <c r="F335" s="14" t="s">
        <v>1043</v>
      </c>
      <c r="G335" s="14" t="n">
        <f aca="false">+593996626438</f>
        <v>593996626438</v>
      </c>
      <c r="H335" s="14" t="s">
        <v>1044</v>
      </c>
      <c r="I335" s="14" t="s">
        <v>24</v>
      </c>
      <c r="J335" s="14"/>
      <c r="K335" s="1" t="s">
        <v>21</v>
      </c>
      <c r="L335" s="14" t="s">
        <v>21</v>
      </c>
      <c r="M335" s="1"/>
      <c r="N335" s="1"/>
      <c r="O335" s="1"/>
      <c r="P335" s="6" t="s">
        <v>21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21.75" hidden="false" customHeight="true" outlineLevel="0" collapsed="false">
      <c r="A336" s="4" t="n">
        <v>43467</v>
      </c>
      <c r="B336" s="18" t="s">
        <v>178</v>
      </c>
      <c r="C336" s="14" t="s">
        <v>15</v>
      </c>
      <c r="D336" s="14" t="s">
        <v>43</v>
      </c>
      <c r="E336" s="14" t="s">
        <v>44</v>
      </c>
      <c r="F336" s="14" t="s">
        <v>1045</v>
      </c>
      <c r="G336" s="14" t="n">
        <f aca="false">+593993109268</f>
        <v>593993109268</v>
      </c>
      <c r="H336" s="14" t="s">
        <v>1046</v>
      </c>
      <c r="I336" s="14" t="s">
        <v>68</v>
      </c>
      <c r="J336" s="14"/>
      <c r="K336" s="1" t="s">
        <v>1047</v>
      </c>
      <c r="L336" s="1"/>
      <c r="M336" s="1"/>
      <c r="N336" s="1"/>
      <c r="O336" s="1"/>
      <c r="P336" s="6" t="s">
        <v>31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21.75" hidden="false" customHeight="true" outlineLevel="0" collapsed="false">
      <c r="A337" s="4" t="n">
        <v>43467</v>
      </c>
      <c r="B337" s="18" t="s">
        <v>81</v>
      </c>
      <c r="C337" s="14" t="s">
        <v>15</v>
      </c>
      <c r="D337" s="14" t="s">
        <v>43</v>
      </c>
      <c r="E337" s="14" t="s">
        <v>44</v>
      </c>
      <c r="F337" s="14" t="s">
        <v>1048</v>
      </c>
      <c r="G337" s="14" t="n">
        <f aca="false">+593983143167</f>
        <v>593983143167</v>
      </c>
      <c r="H337" s="14" t="s">
        <v>1049</v>
      </c>
      <c r="I337" s="14" t="s">
        <v>736</v>
      </c>
      <c r="J337" s="14"/>
      <c r="K337" s="1" t="s">
        <v>21</v>
      </c>
      <c r="L337" s="1" t="s">
        <v>580</v>
      </c>
      <c r="M337" s="1"/>
      <c r="N337" s="1"/>
      <c r="O337" s="1"/>
      <c r="P337" s="6" t="s">
        <v>21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21.75" hidden="false" customHeight="true" outlineLevel="0" collapsed="false">
      <c r="A338" s="4" t="n">
        <v>43467</v>
      </c>
      <c r="B338" s="18" t="s">
        <v>81</v>
      </c>
      <c r="C338" s="14" t="s">
        <v>15</v>
      </c>
      <c r="D338" s="14" t="s">
        <v>43</v>
      </c>
      <c r="E338" s="14" t="s">
        <v>44</v>
      </c>
      <c r="F338" s="14" t="s">
        <v>1050</v>
      </c>
      <c r="G338" s="14" t="n">
        <f aca="false">+593982965799</f>
        <v>593982965799</v>
      </c>
      <c r="H338" s="14" t="s">
        <v>1051</v>
      </c>
      <c r="I338" s="14" t="s">
        <v>24</v>
      </c>
      <c r="J338" s="14"/>
      <c r="K338" s="1" t="s">
        <v>1027</v>
      </c>
      <c r="L338" s="1" t="s">
        <v>1027</v>
      </c>
      <c r="M338" s="1"/>
      <c r="N338" s="1"/>
      <c r="O338" s="1"/>
      <c r="P338" s="6" t="s">
        <v>21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21.75" hidden="false" customHeight="true" outlineLevel="0" collapsed="false">
      <c r="A339" s="4" t="n">
        <v>43467</v>
      </c>
      <c r="B339" s="18" t="s">
        <v>81</v>
      </c>
      <c r="C339" s="14" t="s">
        <v>15</v>
      </c>
      <c r="D339" s="14" t="s">
        <v>43</v>
      </c>
      <c r="E339" s="14" t="s">
        <v>44</v>
      </c>
      <c r="F339" s="14" t="s">
        <v>1052</v>
      </c>
      <c r="G339" s="14" t="n">
        <f aca="false">+593988691115</f>
        <v>593988691115</v>
      </c>
      <c r="H339" s="14" t="s">
        <v>1053</v>
      </c>
      <c r="I339" s="14" t="s">
        <v>211</v>
      </c>
      <c r="J339" s="14"/>
      <c r="K339" s="1" t="s">
        <v>21</v>
      </c>
      <c r="L339" s="1" t="s">
        <v>21</v>
      </c>
      <c r="M339" s="1"/>
      <c r="N339" s="1"/>
      <c r="O339" s="1"/>
      <c r="P339" s="6" t="s">
        <v>21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21.75" hidden="false" customHeight="true" outlineLevel="0" collapsed="false">
      <c r="A340" s="4" t="n">
        <v>43467</v>
      </c>
      <c r="B340" s="18" t="s">
        <v>81</v>
      </c>
      <c r="C340" s="14" t="s">
        <v>15</v>
      </c>
      <c r="D340" s="14" t="s">
        <v>43</v>
      </c>
      <c r="E340" s="14" t="s">
        <v>44</v>
      </c>
      <c r="F340" s="14" t="s">
        <v>1054</v>
      </c>
      <c r="G340" s="14" t="n">
        <f aca="false">+593992028239</f>
        <v>593992028239</v>
      </c>
      <c r="H340" s="14" t="s">
        <v>1055</v>
      </c>
      <c r="I340" s="14" t="s">
        <v>1056</v>
      </c>
      <c r="J340" s="14"/>
      <c r="K340" s="1" t="s">
        <v>1057</v>
      </c>
      <c r="L340" s="1"/>
      <c r="M340" s="1"/>
      <c r="N340" s="1"/>
      <c r="O340" s="1"/>
      <c r="P340" s="6" t="s">
        <v>133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21.75" hidden="false" customHeight="true" outlineLevel="0" collapsed="false">
      <c r="A341" s="4" t="n">
        <v>43467</v>
      </c>
      <c r="B341" s="18" t="s">
        <v>81</v>
      </c>
      <c r="C341" s="14" t="s">
        <v>15</v>
      </c>
      <c r="D341" s="14" t="s">
        <v>43</v>
      </c>
      <c r="E341" s="14" t="s">
        <v>44</v>
      </c>
      <c r="F341" s="14" t="s">
        <v>1058</v>
      </c>
      <c r="G341" s="14" t="n">
        <f aca="false">+593969950441</f>
        <v>593969950441</v>
      </c>
      <c r="H341" s="14" t="s">
        <v>1059</v>
      </c>
      <c r="I341" s="14" t="s">
        <v>24</v>
      </c>
      <c r="J341" s="14"/>
      <c r="K341" s="1" t="s">
        <v>21</v>
      </c>
      <c r="L341" s="1" t="s">
        <v>1060</v>
      </c>
      <c r="M341" s="1"/>
      <c r="N341" s="1"/>
      <c r="O341" s="1"/>
      <c r="P341" s="6" t="s">
        <v>21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21.75" hidden="false" customHeight="true" outlineLevel="0" collapsed="false">
      <c r="A342" s="4" t="n">
        <v>43467</v>
      </c>
      <c r="B342" s="18" t="s">
        <v>81</v>
      </c>
      <c r="C342" s="14" t="s">
        <v>15</v>
      </c>
      <c r="D342" s="14" t="s">
        <v>43</v>
      </c>
      <c r="E342" s="14" t="s">
        <v>44</v>
      </c>
      <c r="F342" s="14" t="s">
        <v>1061</v>
      </c>
      <c r="G342" s="14" t="n">
        <f aca="false">+593983585430</f>
        <v>593983585430</v>
      </c>
      <c r="H342" s="14" t="s">
        <v>1062</v>
      </c>
      <c r="I342" s="14" t="s">
        <v>658</v>
      </c>
      <c r="J342" s="14"/>
      <c r="K342" s="1" t="s">
        <v>21</v>
      </c>
      <c r="L342" s="1" t="s">
        <v>21</v>
      </c>
      <c r="M342" s="1"/>
      <c r="N342" s="1"/>
      <c r="O342" s="1"/>
      <c r="P342" s="6" t="s">
        <v>21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21.75" hidden="false" customHeight="true" outlineLevel="0" collapsed="false">
      <c r="A343" s="4" t="n">
        <v>43467</v>
      </c>
      <c r="B343" s="18" t="s">
        <v>81</v>
      </c>
      <c r="C343" s="14" t="s">
        <v>15</v>
      </c>
      <c r="D343" s="14" t="s">
        <v>43</v>
      </c>
      <c r="E343" s="14" t="s">
        <v>44</v>
      </c>
      <c r="F343" s="14" t="s">
        <v>1063</v>
      </c>
      <c r="G343" s="14" t="n">
        <f aca="false">+593996577684</f>
        <v>593996577684</v>
      </c>
      <c r="H343" s="14" t="s">
        <v>1064</v>
      </c>
      <c r="I343" s="14" t="s">
        <v>68</v>
      </c>
      <c r="J343" s="14"/>
      <c r="K343" s="1" t="s">
        <v>1065</v>
      </c>
      <c r="L343" s="1"/>
      <c r="M343" s="1"/>
      <c r="N343" s="1"/>
      <c r="O343" s="1"/>
      <c r="P343" s="6" t="s">
        <v>133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21.75" hidden="false" customHeight="true" outlineLevel="0" collapsed="false">
      <c r="A344" s="4" t="n">
        <v>43467</v>
      </c>
      <c r="B344" s="18" t="s">
        <v>81</v>
      </c>
      <c r="C344" s="14" t="s">
        <v>15</v>
      </c>
      <c r="D344" s="14" t="s">
        <v>43</v>
      </c>
      <c r="E344" s="14" t="s">
        <v>44</v>
      </c>
      <c r="F344" s="14" t="s">
        <v>1066</v>
      </c>
      <c r="G344" s="14" t="n">
        <f aca="false">+5930968742470</f>
        <v>5930968742470</v>
      </c>
      <c r="H344" s="14" t="s">
        <v>1067</v>
      </c>
      <c r="I344" s="14" t="s">
        <v>1068</v>
      </c>
      <c r="J344" s="14"/>
      <c r="K344" s="1" t="s">
        <v>21</v>
      </c>
      <c r="L344" s="1" t="s">
        <v>21</v>
      </c>
      <c r="M344" s="1"/>
      <c r="N344" s="1"/>
      <c r="O344" s="1"/>
      <c r="P344" s="6" t="s">
        <v>21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21.75" hidden="false" customHeight="true" outlineLevel="0" collapsed="false">
      <c r="A345" s="4" t="n">
        <v>43467</v>
      </c>
      <c r="B345" s="18" t="s">
        <v>911</v>
      </c>
      <c r="C345" s="14" t="s">
        <v>15</v>
      </c>
      <c r="D345" s="8" t="s">
        <v>16</v>
      </c>
      <c r="E345" s="14" t="s">
        <v>17</v>
      </c>
      <c r="F345" s="19" t="s">
        <v>1069</v>
      </c>
      <c r="G345" s="18" t="n">
        <v>939673509</v>
      </c>
      <c r="H345" s="18" t="s">
        <v>1070</v>
      </c>
      <c r="I345" s="18"/>
      <c r="J345" s="1"/>
      <c r="K345" s="1" t="s">
        <v>1071</v>
      </c>
      <c r="L345" s="1" t="s">
        <v>1072</v>
      </c>
      <c r="M345" s="1"/>
      <c r="N345" s="1"/>
      <c r="O345" s="1"/>
      <c r="P345" s="6" t="s">
        <v>133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21.75" hidden="false" customHeight="true" outlineLevel="0" collapsed="false">
      <c r="A346" s="4" t="n">
        <v>43468</v>
      </c>
      <c r="B346" s="18" t="s">
        <v>14</v>
      </c>
      <c r="C346" s="14" t="s">
        <v>15</v>
      </c>
      <c r="D346" s="14" t="s">
        <v>16</v>
      </c>
      <c r="E346" s="14" t="s">
        <v>17</v>
      </c>
      <c r="F346" s="19" t="s">
        <v>1073</v>
      </c>
      <c r="G346" s="18" t="n">
        <v>990953364</v>
      </c>
      <c r="H346" s="18" t="s">
        <v>1074</v>
      </c>
      <c r="I346" s="18"/>
      <c r="J346" s="1"/>
      <c r="K346" s="1" t="s">
        <v>21</v>
      </c>
      <c r="L346" s="1" t="s">
        <v>21</v>
      </c>
      <c r="M346" s="1"/>
      <c r="N346" s="1"/>
      <c r="O346" s="1"/>
      <c r="P346" s="6" t="s">
        <v>21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21.75" hidden="false" customHeight="true" outlineLevel="0" collapsed="false">
      <c r="A347" s="4" t="n">
        <v>43468</v>
      </c>
      <c r="B347" s="18" t="s">
        <v>48</v>
      </c>
      <c r="C347" s="14" t="s">
        <v>15</v>
      </c>
      <c r="D347" s="14" t="s">
        <v>43</v>
      </c>
      <c r="E347" s="14" t="s">
        <v>44</v>
      </c>
      <c r="F347" s="14" t="s">
        <v>1075</v>
      </c>
      <c r="G347" s="14" t="n">
        <f aca="false">+593958859703</f>
        <v>593958859703</v>
      </c>
      <c r="H347" s="14" t="s">
        <v>1076</v>
      </c>
      <c r="I347" s="14" t="s">
        <v>68</v>
      </c>
      <c r="J347" s="14"/>
      <c r="K347" s="1" t="s">
        <v>835</v>
      </c>
      <c r="L347" s="1" t="s">
        <v>21</v>
      </c>
      <c r="M347" s="1"/>
      <c r="N347" s="1"/>
      <c r="O347" s="1"/>
      <c r="P347" s="6" t="s">
        <v>133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21.75" hidden="false" customHeight="true" outlineLevel="0" collapsed="false">
      <c r="A348" s="4" t="n">
        <v>43468</v>
      </c>
      <c r="B348" s="18" t="s">
        <v>48</v>
      </c>
      <c r="C348" s="14" t="s">
        <v>15</v>
      </c>
      <c r="D348" s="14" t="s">
        <v>43</v>
      </c>
      <c r="E348" s="14" t="s">
        <v>109</v>
      </c>
      <c r="F348" s="19" t="s">
        <v>1077</v>
      </c>
      <c r="G348" s="18" t="n">
        <v>992032629</v>
      </c>
      <c r="H348" s="18" t="s">
        <v>1078</v>
      </c>
      <c r="I348" s="18"/>
      <c r="J348" s="1"/>
      <c r="K348" s="1" t="s">
        <v>21</v>
      </c>
      <c r="L348" s="1"/>
      <c r="M348" s="1"/>
      <c r="N348" s="1"/>
      <c r="O348" s="1"/>
      <c r="P348" s="6" t="s">
        <v>21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21.75" hidden="false" customHeight="true" outlineLevel="0" collapsed="false">
      <c r="A349" s="4" t="n">
        <v>43468</v>
      </c>
      <c r="B349" s="18" t="s">
        <v>48</v>
      </c>
      <c r="C349" s="14" t="s">
        <v>383</v>
      </c>
      <c r="D349" s="14" t="s">
        <v>43</v>
      </c>
      <c r="E349" s="14" t="s">
        <v>109</v>
      </c>
      <c r="F349" s="19" t="s">
        <v>1079</v>
      </c>
      <c r="G349" s="20" t="n">
        <v>960418535</v>
      </c>
      <c r="H349" s="18" t="s">
        <v>1080</v>
      </c>
      <c r="I349" s="18"/>
      <c r="J349" s="1"/>
      <c r="K349" s="1" t="s">
        <v>1081</v>
      </c>
      <c r="L349" s="1" t="s">
        <v>21</v>
      </c>
      <c r="M349" s="1" t="s">
        <v>21</v>
      </c>
      <c r="N349" s="1"/>
      <c r="O349" s="1"/>
      <c r="P349" s="6" t="s">
        <v>21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21.75" hidden="false" customHeight="true" outlineLevel="0" collapsed="false">
      <c r="A350" s="4" t="n">
        <v>43468</v>
      </c>
      <c r="B350" s="18" t="s">
        <v>48</v>
      </c>
      <c r="C350" s="14" t="s">
        <v>15</v>
      </c>
      <c r="D350" s="14" t="s">
        <v>43</v>
      </c>
      <c r="E350" s="14" t="s">
        <v>109</v>
      </c>
      <c r="F350" s="19" t="s">
        <v>1082</v>
      </c>
      <c r="G350" s="18" t="n">
        <v>995874456</v>
      </c>
      <c r="H350" s="18" t="s">
        <v>1083</v>
      </c>
      <c r="I350" s="18"/>
      <c r="J350" s="1"/>
      <c r="K350" s="1" t="s">
        <v>1084</v>
      </c>
      <c r="L350" s="1" t="s">
        <v>1085</v>
      </c>
      <c r="M350" s="1" t="s">
        <v>21</v>
      </c>
      <c r="N350" s="1"/>
      <c r="O350" s="1"/>
      <c r="P350" s="6" t="s">
        <v>133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21.75" hidden="false" customHeight="true" outlineLevel="0" collapsed="false">
      <c r="A351" s="4" t="n">
        <v>43468</v>
      </c>
      <c r="B351" s="18" t="s">
        <v>964</v>
      </c>
      <c r="C351" s="14" t="s">
        <v>15</v>
      </c>
      <c r="D351" s="14" t="s">
        <v>43</v>
      </c>
      <c r="E351" s="8" t="s">
        <v>17</v>
      </c>
      <c r="F351" s="19" t="s">
        <v>1086</v>
      </c>
      <c r="G351" s="20"/>
      <c r="H351" s="18" t="s">
        <v>1087</v>
      </c>
      <c r="I351" s="18"/>
      <c r="J351" s="1"/>
      <c r="K351" s="1" t="s">
        <v>1088</v>
      </c>
      <c r="L351" s="1" t="s">
        <v>1089</v>
      </c>
      <c r="M351" s="1"/>
      <c r="N351" s="1"/>
      <c r="O351" s="1"/>
      <c r="P351" s="6" t="s">
        <v>31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21.75" hidden="false" customHeight="true" outlineLevel="0" collapsed="false">
      <c r="A352" s="4" t="n">
        <v>43468</v>
      </c>
      <c r="B352" s="18" t="s">
        <v>352</v>
      </c>
      <c r="C352" s="14" t="s">
        <v>15</v>
      </c>
      <c r="D352" s="14" t="s">
        <v>43</v>
      </c>
      <c r="E352" s="14" t="s">
        <v>109</v>
      </c>
      <c r="F352" s="19" t="s">
        <v>1090</v>
      </c>
      <c r="G352" s="18" t="s">
        <v>1091</v>
      </c>
      <c r="H352" s="18" t="s">
        <v>1092</v>
      </c>
      <c r="I352" s="1"/>
      <c r="J352" s="1"/>
      <c r="K352" s="1" t="s">
        <v>1093</v>
      </c>
      <c r="L352" s="1" t="s">
        <v>1065</v>
      </c>
      <c r="M352" s="1"/>
      <c r="N352" s="1"/>
      <c r="O352" s="1"/>
      <c r="P352" s="6" t="s">
        <v>133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21.75" hidden="false" customHeight="true" outlineLevel="0" collapsed="false">
      <c r="A353" s="4" t="n">
        <v>43468</v>
      </c>
      <c r="B353" s="18" t="s">
        <v>352</v>
      </c>
      <c r="C353" s="14" t="s">
        <v>15</v>
      </c>
      <c r="D353" s="14" t="s">
        <v>43</v>
      </c>
      <c r="E353" s="14" t="s">
        <v>109</v>
      </c>
      <c r="F353" s="19" t="s">
        <v>1094</v>
      </c>
      <c r="G353" s="19" t="n">
        <v>990121235</v>
      </c>
      <c r="H353" s="19" t="s">
        <v>1095</v>
      </c>
      <c r="I353" s="19"/>
      <c r="J353" s="1"/>
      <c r="K353" s="1" t="s">
        <v>1096</v>
      </c>
      <c r="L353" s="1" t="s">
        <v>21</v>
      </c>
      <c r="M353" s="1"/>
      <c r="N353" s="1"/>
      <c r="O353" s="1"/>
      <c r="P353" s="6" t="s">
        <v>133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21.75" hidden="false" customHeight="true" outlineLevel="0" collapsed="false">
      <c r="A354" s="4" t="n">
        <v>43468</v>
      </c>
      <c r="B354" s="18" t="s">
        <v>352</v>
      </c>
      <c r="C354" s="14" t="s">
        <v>15</v>
      </c>
      <c r="D354" s="14" t="s">
        <v>43</v>
      </c>
      <c r="E354" s="14" t="s">
        <v>109</v>
      </c>
      <c r="F354" s="19" t="s">
        <v>1097</v>
      </c>
      <c r="G354" s="18" t="n">
        <v>988787124</v>
      </c>
      <c r="H354" s="18" t="s">
        <v>1098</v>
      </c>
      <c r="I354" s="18"/>
      <c r="J354" s="1"/>
      <c r="K354" s="1" t="s">
        <v>496</v>
      </c>
      <c r="L354" s="1" t="s">
        <v>107</v>
      </c>
      <c r="M354" s="1"/>
      <c r="N354" s="1"/>
      <c r="O354" s="1"/>
      <c r="P354" s="6" t="s">
        <v>133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21.75" hidden="false" customHeight="true" outlineLevel="0" collapsed="false">
      <c r="A355" s="4" t="n">
        <v>43468</v>
      </c>
      <c r="B355" s="18" t="s">
        <v>81</v>
      </c>
      <c r="C355" s="14" t="s">
        <v>15</v>
      </c>
      <c r="D355" s="14" t="s">
        <v>43</v>
      </c>
      <c r="E355" s="14" t="s">
        <v>109</v>
      </c>
      <c r="F355" s="19" t="s">
        <v>1099</v>
      </c>
      <c r="G355" s="17" t="n">
        <v>961380936</v>
      </c>
      <c r="H355" s="18" t="s">
        <v>1100</v>
      </c>
      <c r="I355" s="18"/>
      <c r="J355" s="1"/>
      <c r="K355" s="1" t="s">
        <v>1101</v>
      </c>
      <c r="L355" s="1" t="s">
        <v>21</v>
      </c>
      <c r="M355" s="1"/>
      <c r="N355" s="1"/>
      <c r="O355" s="1"/>
      <c r="P355" s="6" t="s">
        <v>21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21.75" hidden="false" customHeight="true" outlineLevel="0" collapsed="false">
      <c r="A356" s="4" t="n">
        <v>43470</v>
      </c>
      <c r="B356" s="8" t="s">
        <v>42</v>
      </c>
      <c r="C356" s="14" t="s">
        <v>15</v>
      </c>
      <c r="D356" s="14" t="s">
        <v>43</v>
      </c>
      <c r="E356" s="14" t="s">
        <v>109</v>
      </c>
      <c r="F356" s="19" t="s">
        <v>1102</v>
      </c>
      <c r="G356" s="18" t="n">
        <v>969457305</v>
      </c>
      <c r="H356" s="18" t="s">
        <v>1103</v>
      </c>
      <c r="I356" s="18"/>
      <c r="J356" s="1"/>
      <c r="K356" s="1" t="s">
        <v>1104</v>
      </c>
      <c r="L356" s="1" t="s">
        <v>1105</v>
      </c>
      <c r="M356" s="1"/>
      <c r="N356" s="1"/>
      <c r="O356" s="1"/>
      <c r="P356" s="6" t="s">
        <v>21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21.75" hidden="false" customHeight="true" outlineLevel="0" collapsed="false">
      <c r="A357" s="4" t="n">
        <v>43470</v>
      </c>
      <c r="B357" s="14" t="s">
        <v>1106</v>
      </c>
      <c r="C357" s="14" t="s">
        <v>15</v>
      </c>
      <c r="D357" s="14" t="s">
        <v>43</v>
      </c>
      <c r="E357" s="14" t="s">
        <v>109</v>
      </c>
      <c r="F357" s="19" t="s">
        <v>1107</v>
      </c>
      <c r="G357" s="18" t="n">
        <v>983158712</v>
      </c>
      <c r="H357" s="18" t="s">
        <v>1108</v>
      </c>
      <c r="I357" s="18"/>
      <c r="J357" s="1"/>
      <c r="K357" s="1" t="s">
        <v>21</v>
      </c>
      <c r="L357" s="1" t="s">
        <v>21</v>
      </c>
      <c r="M357" s="1"/>
      <c r="N357" s="1"/>
      <c r="O357" s="1"/>
      <c r="P357" s="6" t="s">
        <v>21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21.75" hidden="false" customHeight="true" outlineLevel="0" collapsed="false">
      <c r="A358" s="4" t="n">
        <v>43470</v>
      </c>
      <c r="B358" s="14" t="s">
        <v>48</v>
      </c>
      <c r="C358" s="14" t="s">
        <v>15</v>
      </c>
      <c r="D358" s="14" t="s">
        <v>43</v>
      </c>
      <c r="E358" s="14" t="s">
        <v>109</v>
      </c>
      <c r="F358" s="19" t="s">
        <v>1109</v>
      </c>
      <c r="G358" s="18" t="n">
        <v>999611135</v>
      </c>
      <c r="H358" s="18" t="s">
        <v>1110</v>
      </c>
      <c r="I358" s="18"/>
      <c r="J358" s="1"/>
      <c r="K358" s="1" t="s">
        <v>21</v>
      </c>
      <c r="L358" s="1"/>
      <c r="M358" s="1"/>
      <c r="N358" s="1"/>
      <c r="O358" s="1"/>
      <c r="P358" s="6" t="s">
        <v>21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21.75" hidden="false" customHeight="true" outlineLevel="0" collapsed="false">
      <c r="A359" s="4" t="n">
        <v>43470</v>
      </c>
      <c r="B359" s="14" t="s">
        <v>48</v>
      </c>
      <c r="C359" s="14" t="s">
        <v>383</v>
      </c>
      <c r="D359" s="14" t="s">
        <v>43</v>
      </c>
      <c r="E359" s="14" t="s">
        <v>109</v>
      </c>
      <c r="F359" s="19" t="s">
        <v>1111</v>
      </c>
      <c r="G359" s="18"/>
      <c r="H359" s="18" t="s">
        <v>1112</v>
      </c>
      <c r="I359" s="18"/>
      <c r="J359" s="1"/>
      <c r="K359" s="1" t="s">
        <v>1113</v>
      </c>
      <c r="L359" s="1"/>
      <c r="M359" s="1"/>
      <c r="N359" s="1"/>
      <c r="O359" s="1"/>
      <c r="P359" s="6" t="s">
        <v>31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21.75" hidden="false" customHeight="true" outlineLevel="0" collapsed="false">
      <c r="A360" s="4" t="n">
        <v>43470</v>
      </c>
      <c r="B360" s="14" t="s">
        <v>1114</v>
      </c>
      <c r="C360" s="14" t="s">
        <v>15</v>
      </c>
      <c r="D360" s="14" t="s">
        <v>43</v>
      </c>
      <c r="E360" s="14" t="s">
        <v>109</v>
      </c>
      <c r="F360" s="19" t="s">
        <v>1115</v>
      </c>
      <c r="G360" s="18" t="n">
        <v>968561399</v>
      </c>
      <c r="H360" s="18" t="s">
        <v>1116</v>
      </c>
      <c r="I360" s="18"/>
      <c r="J360" s="1"/>
      <c r="K360" s="1" t="s">
        <v>21</v>
      </c>
      <c r="L360" s="1" t="s">
        <v>21</v>
      </c>
      <c r="M360" s="1"/>
      <c r="N360" s="1"/>
      <c r="O360" s="1"/>
      <c r="P360" s="6" t="s">
        <v>21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21.75" hidden="false" customHeight="true" outlineLevel="0" collapsed="false">
      <c r="A361" s="4" t="n">
        <v>43470</v>
      </c>
      <c r="B361" s="14" t="s">
        <v>1114</v>
      </c>
      <c r="C361" s="14" t="s">
        <v>15</v>
      </c>
      <c r="D361" s="14" t="s">
        <v>43</v>
      </c>
      <c r="E361" s="14" t="s">
        <v>109</v>
      </c>
      <c r="F361" s="19" t="s">
        <v>1117</v>
      </c>
      <c r="G361" s="18" t="n">
        <v>981844456</v>
      </c>
      <c r="H361" s="18" t="s">
        <v>1118</v>
      </c>
      <c r="I361" s="18"/>
      <c r="J361" s="1"/>
      <c r="K361" s="1" t="s">
        <v>21</v>
      </c>
      <c r="L361" s="1" t="s">
        <v>21</v>
      </c>
      <c r="M361" s="1"/>
      <c r="N361" s="1"/>
      <c r="O361" s="1"/>
      <c r="P361" s="6" t="s">
        <v>21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21.75" hidden="false" customHeight="true" outlineLevel="0" collapsed="false">
      <c r="A362" s="4" t="n">
        <v>43470</v>
      </c>
      <c r="B362" s="14" t="s">
        <v>81</v>
      </c>
      <c r="C362" s="14" t="s">
        <v>15</v>
      </c>
      <c r="D362" s="14" t="s">
        <v>43</v>
      </c>
      <c r="E362" s="14" t="s">
        <v>44</v>
      </c>
      <c r="F362" s="19" t="s">
        <v>1119</v>
      </c>
      <c r="G362" s="18" t="n">
        <v>991758164</v>
      </c>
      <c r="H362" s="18" t="s">
        <v>1120</v>
      </c>
      <c r="I362" s="18"/>
      <c r="J362" s="1"/>
      <c r="K362" s="1" t="s">
        <v>1121</v>
      </c>
      <c r="L362" s="1" t="s">
        <v>21</v>
      </c>
      <c r="M362" s="1" t="s">
        <v>21</v>
      </c>
      <c r="N362" s="1"/>
      <c r="O362" s="1"/>
      <c r="P362" s="6" t="s">
        <v>455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21.75" hidden="false" customHeight="true" outlineLevel="0" collapsed="false">
      <c r="A363" s="4" t="n">
        <v>43472</v>
      </c>
      <c r="B363" s="8" t="s">
        <v>42</v>
      </c>
      <c r="C363" s="14" t="s">
        <v>15</v>
      </c>
      <c r="D363" s="14" t="s">
        <v>43</v>
      </c>
      <c r="E363" s="14" t="s">
        <v>109</v>
      </c>
      <c r="F363" s="19" t="s">
        <v>1122</v>
      </c>
      <c r="G363" s="18" t="n">
        <v>981744333</v>
      </c>
      <c r="H363" s="18" t="s">
        <v>1123</v>
      </c>
      <c r="I363" s="18"/>
      <c r="J363" s="1"/>
      <c r="K363" s="1" t="s">
        <v>1124</v>
      </c>
      <c r="L363" s="1"/>
      <c r="M363" s="1"/>
      <c r="N363" s="1"/>
      <c r="O363" s="1"/>
      <c r="P363" s="6" t="s">
        <v>1125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21.75" hidden="false" customHeight="true" outlineLevel="0" collapsed="false">
      <c r="A364" s="4" t="n">
        <v>43472</v>
      </c>
      <c r="B364" s="18" t="s">
        <v>1106</v>
      </c>
      <c r="C364" s="14" t="s">
        <v>383</v>
      </c>
      <c r="D364" s="14" t="s">
        <v>43</v>
      </c>
      <c r="E364" s="14" t="s">
        <v>109</v>
      </c>
      <c r="F364" s="19" t="s">
        <v>1126</v>
      </c>
      <c r="G364" s="18" t="n">
        <v>986348565</v>
      </c>
      <c r="H364" s="18" t="s">
        <v>1127</v>
      </c>
      <c r="I364" s="1"/>
      <c r="J364" s="1"/>
      <c r="K364" s="1" t="s">
        <v>21</v>
      </c>
      <c r="L364" s="1"/>
      <c r="M364" s="1"/>
      <c r="N364" s="1"/>
      <c r="O364" s="1"/>
      <c r="P364" s="6" t="s">
        <v>21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21.75" hidden="false" customHeight="true" outlineLevel="0" collapsed="false">
      <c r="A365" s="4" t="n">
        <v>43472</v>
      </c>
      <c r="B365" s="18" t="s">
        <v>48</v>
      </c>
      <c r="C365" s="14" t="s">
        <v>15</v>
      </c>
      <c r="D365" s="14" t="s">
        <v>43</v>
      </c>
      <c r="E365" s="14" t="s">
        <v>109</v>
      </c>
      <c r="F365" s="19" t="s">
        <v>1128</v>
      </c>
      <c r="G365" s="18" t="n">
        <v>997007177</v>
      </c>
      <c r="H365" s="18" t="s">
        <v>1129</v>
      </c>
      <c r="I365" s="18"/>
      <c r="J365" s="1"/>
      <c r="K365" s="1" t="s">
        <v>1130</v>
      </c>
      <c r="L365" s="1"/>
      <c r="M365" s="1"/>
      <c r="N365" s="1"/>
      <c r="O365" s="1"/>
      <c r="P365" s="6" t="s">
        <v>31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21.75" hidden="false" customHeight="true" outlineLevel="0" collapsed="false">
      <c r="A366" s="4" t="n">
        <v>43472</v>
      </c>
      <c r="B366" s="18" t="s">
        <v>48</v>
      </c>
      <c r="C366" s="14" t="s">
        <v>15</v>
      </c>
      <c r="D366" s="14" t="s">
        <v>43</v>
      </c>
      <c r="E366" s="14" t="s">
        <v>109</v>
      </c>
      <c r="F366" s="19" t="s">
        <v>1131</v>
      </c>
      <c r="G366" s="18" t="n">
        <v>969211282</v>
      </c>
      <c r="H366" s="18" t="s">
        <v>1132</v>
      </c>
      <c r="I366" s="18"/>
      <c r="J366" s="1"/>
      <c r="K366" s="1" t="s">
        <v>21</v>
      </c>
      <c r="L366" s="1"/>
      <c r="M366" s="1"/>
      <c r="N366" s="1"/>
      <c r="O366" s="1"/>
      <c r="P366" s="6" t="s">
        <v>21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21.75" hidden="false" customHeight="true" outlineLevel="0" collapsed="false">
      <c r="A367" s="4" t="n">
        <v>43472</v>
      </c>
      <c r="B367" s="18" t="s">
        <v>127</v>
      </c>
      <c r="C367" s="14" t="s">
        <v>15</v>
      </c>
      <c r="D367" s="14" t="s">
        <v>43</v>
      </c>
      <c r="E367" s="14" t="s">
        <v>109</v>
      </c>
      <c r="F367" s="19" t="s">
        <v>1133</v>
      </c>
      <c r="G367" s="18" t="n">
        <v>997575561</v>
      </c>
      <c r="H367" s="18" t="s">
        <v>1134</v>
      </c>
      <c r="I367" s="18"/>
      <c r="J367" s="1"/>
      <c r="K367" s="1" t="s">
        <v>21</v>
      </c>
      <c r="L367" s="1"/>
      <c r="M367" s="1"/>
      <c r="N367" s="1"/>
      <c r="O367" s="1"/>
      <c r="P367" s="6" t="s">
        <v>21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21.75" hidden="false" customHeight="true" outlineLevel="0" collapsed="false">
      <c r="A368" s="21" t="n">
        <v>43472</v>
      </c>
      <c r="B368" s="22" t="s">
        <v>415</v>
      </c>
      <c r="C368" s="23" t="s">
        <v>15</v>
      </c>
      <c r="D368" s="23" t="s">
        <v>43</v>
      </c>
      <c r="E368" s="14" t="s">
        <v>109</v>
      </c>
      <c r="F368" s="24" t="s">
        <v>1135</v>
      </c>
      <c r="G368" s="22" t="n">
        <v>993489516</v>
      </c>
      <c r="H368" s="22" t="s">
        <v>1136</v>
      </c>
      <c r="I368" s="1"/>
      <c r="J368" s="1"/>
      <c r="K368" s="1" t="s">
        <v>21</v>
      </c>
      <c r="L368" s="1"/>
      <c r="M368" s="1"/>
      <c r="N368" s="1"/>
      <c r="O368" s="1"/>
      <c r="P368" s="6" t="s">
        <v>21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21.75" hidden="false" customHeight="true" outlineLevel="0" collapsed="false">
      <c r="A369" s="4" t="n">
        <v>43472</v>
      </c>
      <c r="B369" s="18" t="s">
        <v>352</v>
      </c>
      <c r="C369" s="14" t="s">
        <v>15</v>
      </c>
      <c r="D369" s="14" t="s">
        <v>43</v>
      </c>
      <c r="E369" s="14" t="s">
        <v>109</v>
      </c>
      <c r="F369" s="19" t="s">
        <v>1137</v>
      </c>
      <c r="G369" s="18" t="n">
        <v>980706632</v>
      </c>
      <c r="H369" s="18" t="s">
        <v>1138</v>
      </c>
      <c r="I369" s="1"/>
      <c r="J369" s="1"/>
      <c r="K369" s="1" t="s">
        <v>21</v>
      </c>
      <c r="L369" s="1"/>
      <c r="M369" s="1"/>
      <c r="N369" s="1"/>
      <c r="O369" s="1"/>
      <c r="P369" s="6" t="s">
        <v>21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21.75" hidden="false" customHeight="true" outlineLevel="0" collapsed="false">
      <c r="A370" s="4" t="n">
        <v>43473</v>
      </c>
      <c r="B370" s="18" t="s">
        <v>166</v>
      </c>
      <c r="C370" s="14" t="s">
        <v>15</v>
      </c>
      <c r="D370" s="14" t="s">
        <v>16</v>
      </c>
      <c r="E370" s="14" t="s">
        <v>17</v>
      </c>
      <c r="F370" s="19" t="s">
        <v>1139</v>
      </c>
      <c r="G370" s="18" t="n">
        <v>988665240</v>
      </c>
      <c r="H370" s="18" t="s">
        <v>1140</v>
      </c>
      <c r="I370" s="18"/>
      <c r="J370" s="1"/>
      <c r="K370" s="1" t="s">
        <v>1141</v>
      </c>
      <c r="L370" s="1" t="s">
        <v>21</v>
      </c>
      <c r="M370" s="1"/>
      <c r="N370" s="1"/>
      <c r="O370" s="1"/>
      <c r="P370" s="6" t="s">
        <v>31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21.75" hidden="false" customHeight="true" outlineLevel="0" collapsed="false">
      <c r="A371" s="4" t="n">
        <v>43473</v>
      </c>
      <c r="B371" s="8" t="s">
        <v>108</v>
      </c>
      <c r="C371" s="14" t="s">
        <v>15</v>
      </c>
      <c r="D371" s="14" t="s">
        <v>16</v>
      </c>
      <c r="E371" s="8" t="s">
        <v>109</v>
      </c>
      <c r="F371" s="25" t="s">
        <v>1142</v>
      </c>
      <c r="G371" s="25" t="n">
        <v>997045047</v>
      </c>
      <c r="H371" s="26" t="s">
        <v>1143</v>
      </c>
      <c r="I371" s="26"/>
      <c r="J371" s="1"/>
      <c r="K371" s="1" t="s">
        <v>1144</v>
      </c>
      <c r="L371" s="1"/>
      <c r="M371" s="1"/>
      <c r="N371" s="1"/>
      <c r="O371" s="1"/>
      <c r="P371" s="6" t="s">
        <v>31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21.75" hidden="false" customHeight="true" outlineLevel="0" collapsed="false">
      <c r="A372" s="4" t="n">
        <v>43473</v>
      </c>
      <c r="B372" s="18" t="s">
        <v>532</v>
      </c>
      <c r="C372" s="14" t="s">
        <v>15</v>
      </c>
      <c r="D372" s="14" t="s">
        <v>43</v>
      </c>
      <c r="E372" s="14" t="s">
        <v>109</v>
      </c>
      <c r="F372" s="19" t="s">
        <v>1145</v>
      </c>
      <c r="G372" s="18" t="n">
        <v>960562012</v>
      </c>
      <c r="H372" s="18" t="s">
        <v>1146</v>
      </c>
      <c r="I372" s="18"/>
      <c r="J372" s="1"/>
      <c r="K372" s="1" t="s">
        <v>21</v>
      </c>
      <c r="L372" s="1"/>
      <c r="M372" s="1"/>
      <c r="N372" s="1"/>
      <c r="O372" s="1"/>
      <c r="P372" s="6" t="s">
        <v>21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21.75" hidden="false" customHeight="true" outlineLevel="0" collapsed="false">
      <c r="A373" s="4" t="n">
        <v>43474</v>
      </c>
      <c r="B373" s="18" t="s">
        <v>14</v>
      </c>
      <c r="C373" s="14" t="s">
        <v>15</v>
      </c>
      <c r="D373" s="14" t="s">
        <v>16</v>
      </c>
      <c r="E373" s="14" t="s">
        <v>17</v>
      </c>
      <c r="F373" s="19" t="s">
        <v>1147</v>
      </c>
      <c r="G373" s="18" t="n">
        <v>980387978</v>
      </c>
      <c r="H373" s="18" t="s">
        <v>1148</v>
      </c>
      <c r="I373" s="18"/>
      <c r="J373" s="1"/>
      <c r="K373" s="1" t="s">
        <v>1149</v>
      </c>
      <c r="L373" s="1" t="s">
        <v>21</v>
      </c>
      <c r="M373" s="1"/>
      <c r="N373" s="1"/>
      <c r="O373" s="1"/>
      <c r="P373" s="6" t="s">
        <v>58</v>
      </c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21.75" hidden="false" customHeight="true" outlineLevel="0" collapsed="false">
      <c r="A374" s="4" t="n">
        <v>43474</v>
      </c>
      <c r="B374" s="18" t="s">
        <v>48</v>
      </c>
      <c r="C374" s="14" t="s">
        <v>15</v>
      </c>
      <c r="D374" s="14" t="s">
        <v>43</v>
      </c>
      <c r="E374" s="14" t="s">
        <v>109</v>
      </c>
      <c r="F374" s="18" t="s">
        <v>1150</v>
      </c>
      <c r="G374" s="27" t="n">
        <v>939531508</v>
      </c>
      <c r="H374" s="26" t="s">
        <v>1151</v>
      </c>
      <c r="I374" s="26"/>
      <c r="J374" s="1"/>
      <c r="K374" s="1" t="s">
        <v>1149</v>
      </c>
      <c r="L374" s="1" t="s">
        <v>1152</v>
      </c>
      <c r="M374" s="1" t="s">
        <v>1153</v>
      </c>
      <c r="N374" s="1"/>
      <c r="O374" s="1"/>
      <c r="P374" s="6" t="s">
        <v>21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21.75" hidden="false" customHeight="true" outlineLevel="0" collapsed="false">
      <c r="A375" s="4" t="n">
        <v>43474</v>
      </c>
      <c r="B375" s="18" t="s">
        <v>48</v>
      </c>
      <c r="C375" s="14" t="s">
        <v>15</v>
      </c>
      <c r="D375" s="14" t="s">
        <v>43</v>
      </c>
      <c r="E375" s="14" t="s">
        <v>109</v>
      </c>
      <c r="F375" s="19" t="s">
        <v>1154</v>
      </c>
      <c r="G375" s="18" t="n">
        <v>993542081</v>
      </c>
      <c r="H375" s="26" t="s">
        <v>1155</v>
      </c>
      <c r="I375" s="26"/>
      <c r="J375" s="1"/>
      <c r="K375" s="1" t="s">
        <v>1156</v>
      </c>
      <c r="L375" s="1" t="s">
        <v>1157</v>
      </c>
      <c r="M375" s="1" t="s">
        <v>21</v>
      </c>
      <c r="N375" s="1"/>
      <c r="O375" s="1"/>
      <c r="P375" s="6" t="s">
        <v>58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21.75" hidden="false" customHeight="true" outlineLevel="0" collapsed="false">
      <c r="A376" s="4" t="n">
        <v>43474</v>
      </c>
      <c r="B376" s="18" t="s">
        <v>532</v>
      </c>
      <c r="C376" s="14" t="s">
        <v>15</v>
      </c>
      <c r="D376" s="14" t="s">
        <v>43</v>
      </c>
      <c r="E376" s="14" t="s">
        <v>109</v>
      </c>
      <c r="F376" s="19" t="s">
        <v>1158</v>
      </c>
      <c r="G376" s="18" t="n">
        <v>991680208</v>
      </c>
      <c r="H376" s="19" t="s">
        <v>1158</v>
      </c>
      <c r="I376" s="19"/>
      <c r="J376" s="1"/>
      <c r="K376" s="1" t="s">
        <v>1149</v>
      </c>
      <c r="L376" s="1" t="s">
        <v>1159</v>
      </c>
      <c r="M376" s="1"/>
      <c r="N376" s="1"/>
      <c r="O376" s="1"/>
      <c r="P376" s="6" t="s">
        <v>133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21.75" hidden="false" customHeight="true" outlineLevel="0" collapsed="false">
      <c r="A377" s="4" t="n">
        <v>43474</v>
      </c>
      <c r="B377" s="18" t="s">
        <v>86</v>
      </c>
      <c r="C377" s="14" t="s">
        <v>15</v>
      </c>
      <c r="D377" s="14" t="s">
        <v>16</v>
      </c>
      <c r="E377" s="14" t="s">
        <v>17</v>
      </c>
      <c r="F377" s="19" t="s">
        <v>1160</v>
      </c>
      <c r="G377" s="18" t="n">
        <v>1314717727</v>
      </c>
      <c r="H377" s="18" t="s">
        <v>1161</v>
      </c>
      <c r="I377" s="18"/>
      <c r="J377" s="1"/>
      <c r="K377" s="1" t="s">
        <v>1149</v>
      </c>
      <c r="L377" s="1"/>
      <c r="M377" s="1"/>
      <c r="N377" s="1"/>
      <c r="O377" s="1"/>
      <c r="P377" s="6" t="s">
        <v>21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21.75" hidden="false" customHeight="true" outlineLevel="0" collapsed="false">
      <c r="A378" s="4" t="n">
        <v>43474</v>
      </c>
      <c r="B378" s="18" t="s">
        <v>86</v>
      </c>
      <c r="C378" s="14" t="s">
        <v>15</v>
      </c>
      <c r="D378" s="14" t="s">
        <v>16</v>
      </c>
      <c r="E378" s="14" t="s">
        <v>17</v>
      </c>
      <c r="F378" s="19" t="s">
        <v>1162</v>
      </c>
      <c r="G378" s="18" t="n">
        <v>958609568</v>
      </c>
      <c r="H378" s="18" t="s">
        <v>1163</v>
      </c>
      <c r="I378" s="18"/>
      <c r="J378" s="1"/>
      <c r="K378" s="1" t="s">
        <v>1149</v>
      </c>
      <c r="L378" s="1" t="s">
        <v>21</v>
      </c>
      <c r="M378" s="1"/>
      <c r="N378" s="1"/>
      <c r="O378" s="1"/>
      <c r="P378" s="6" t="s">
        <v>21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21.75" hidden="false" customHeight="true" outlineLevel="0" collapsed="false">
      <c r="A379" s="4" t="n">
        <v>43474</v>
      </c>
      <c r="B379" s="18" t="s">
        <v>86</v>
      </c>
      <c r="C379" s="14" t="s">
        <v>15</v>
      </c>
      <c r="D379" s="14" t="s">
        <v>16</v>
      </c>
      <c r="E379" s="14" t="s">
        <v>17</v>
      </c>
      <c r="F379" s="19" t="s">
        <v>1164</v>
      </c>
      <c r="G379" s="18" t="n">
        <v>986524127</v>
      </c>
      <c r="H379" s="18" t="s">
        <v>1165</v>
      </c>
      <c r="I379" s="18"/>
      <c r="J379" s="1"/>
      <c r="K379" s="1" t="s">
        <v>1166</v>
      </c>
      <c r="L379" s="1" t="s">
        <v>1167</v>
      </c>
      <c r="M379" s="1"/>
      <c r="N379" s="1"/>
      <c r="O379" s="1"/>
      <c r="P379" s="6" t="s">
        <v>133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21.75" hidden="false" customHeight="true" outlineLevel="0" collapsed="false">
      <c r="A380" s="4" t="n">
        <v>43474</v>
      </c>
      <c r="B380" s="18" t="s">
        <v>86</v>
      </c>
      <c r="C380" s="14" t="s">
        <v>15</v>
      </c>
      <c r="D380" s="14" t="s">
        <v>16</v>
      </c>
      <c r="E380" s="14" t="s">
        <v>17</v>
      </c>
      <c r="F380" s="19" t="s">
        <v>1168</v>
      </c>
      <c r="G380" s="18" t="n">
        <v>939368881</v>
      </c>
      <c r="H380" s="18" t="s">
        <v>1169</v>
      </c>
      <c r="I380" s="18"/>
      <c r="J380" s="1"/>
      <c r="K380" s="1" t="s">
        <v>1166</v>
      </c>
      <c r="L380" s="1" t="s">
        <v>21</v>
      </c>
      <c r="M380" s="1"/>
      <c r="N380" s="1"/>
      <c r="O380" s="1"/>
      <c r="P380" s="6" t="s">
        <v>133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21.75" hidden="false" customHeight="true" outlineLevel="0" collapsed="false">
      <c r="A381" s="4" t="n">
        <v>43474</v>
      </c>
      <c r="B381" s="18" t="s">
        <v>86</v>
      </c>
      <c r="C381" s="14" t="s">
        <v>15</v>
      </c>
      <c r="D381" s="14" t="s">
        <v>16</v>
      </c>
      <c r="E381" s="14" t="s">
        <v>17</v>
      </c>
      <c r="F381" s="19" t="s">
        <v>1170</v>
      </c>
      <c r="G381" s="18" t="n">
        <v>986069956</v>
      </c>
      <c r="H381" s="18" t="s">
        <v>1171</v>
      </c>
      <c r="I381" s="18"/>
      <c r="J381" s="1"/>
      <c r="K381" s="1" t="s">
        <v>1156</v>
      </c>
      <c r="L381" s="1" t="s">
        <v>1172</v>
      </c>
      <c r="M381" s="1"/>
      <c r="N381" s="1"/>
      <c r="O381" s="1"/>
      <c r="P381" s="6" t="s">
        <v>133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21.75" hidden="false" customHeight="true" outlineLevel="0" collapsed="false">
      <c r="A382" s="4" t="n">
        <v>43474</v>
      </c>
      <c r="B382" s="18" t="s">
        <v>86</v>
      </c>
      <c r="C382" s="14" t="s">
        <v>15</v>
      </c>
      <c r="D382" s="14" t="s">
        <v>16</v>
      </c>
      <c r="E382" s="14" t="s">
        <v>17</v>
      </c>
      <c r="F382" s="19" t="s">
        <v>1173</v>
      </c>
      <c r="G382" s="18"/>
      <c r="H382" s="18" t="s">
        <v>1174</v>
      </c>
      <c r="I382" s="18"/>
      <c r="J382" s="1"/>
      <c r="K382" s="1" t="s">
        <v>1175</v>
      </c>
      <c r="L382" s="1"/>
      <c r="M382" s="1"/>
      <c r="N382" s="1"/>
      <c r="O382" s="1"/>
      <c r="P382" s="6" t="s">
        <v>133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21.75" hidden="false" customHeight="true" outlineLevel="0" collapsed="false">
      <c r="A383" s="4" t="n">
        <v>43474</v>
      </c>
      <c r="B383" s="18" t="s">
        <v>86</v>
      </c>
      <c r="C383" s="14" t="s">
        <v>15</v>
      </c>
      <c r="D383" s="14" t="s">
        <v>16</v>
      </c>
      <c r="E383" s="14" t="s">
        <v>17</v>
      </c>
      <c r="F383" s="19" t="s">
        <v>1176</v>
      </c>
      <c r="G383" s="18" t="n">
        <v>939014761</v>
      </c>
      <c r="H383" s="18" t="s">
        <v>1177</v>
      </c>
      <c r="I383" s="18"/>
      <c r="J383" s="1"/>
      <c r="K383" s="1" t="s">
        <v>133</v>
      </c>
      <c r="L383" s="1"/>
      <c r="M383" s="1"/>
      <c r="N383" s="1"/>
      <c r="O383" s="1"/>
      <c r="P383" s="6" t="s">
        <v>133</v>
      </c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21.75" hidden="false" customHeight="true" outlineLevel="0" collapsed="false">
      <c r="A384" s="4" t="n">
        <v>43475</v>
      </c>
      <c r="B384" s="18" t="s">
        <v>48</v>
      </c>
      <c r="C384" s="14" t="s">
        <v>15</v>
      </c>
      <c r="D384" s="14" t="s">
        <v>43</v>
      </c>
      <c r="E384" s="14" t="s">
        <v>109</v>
      </c>
      <c r="F384" s="19" t="s">
        <v>1178</v>
      </c>
      <c r="G384" s="18" t="n">
        <v>996199459</v>
      </c>
      <c r="H384" s="18" t="s">
        <v>1179</v>
      </c>
      <c r="I384" s="18"/>
      <c r="J384" s="1"/>
      <c r="K384" s="1" t="s">
        <v>21</v>
      </c>
      <c r="L384" s="1" t="s">
        <v>21</v>
      </c>
      <c r="M384" s="1"/>
      <c r="N384" s="1"/>
      <c r="O384" s="1"/>
      <c r="P384" s="6" t="s">
        <v>58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21.75" hidden="false" customHeight="true" outlineLevel="0" collapsed="false">
      <c r="A385" s="4" t="n">
        <v>43475</v>
      </c>
      <c r="B385" s="18" t="s">
        <v>48</v>
      </c>
      <c r="C385" s="14" t="s">
        <v>15</v>
      </c>
      <c r="D385" s="14" t="s">
        <v>43</v>
      </c>
      <c r="E385" s="14" t="s">
        <v>109</v>
      </c>
      <c r="F385" s="19" t="s">
        <v>1180</v>
      </c>
      <c r="G385" s="18" t="n">
        <v>979735069</v>
      </c>
      <c r="H385" s="18"/>
      <c r="I385" s="18"/>
      <c r="J385" s="1"/>
      <c r="K385" s="1" t="s">
        <v>1181</v>
      </c>
      <c r="L385" s="1" t="s">
        <v>1182</v>
      </c>
      <c r="M385" s="1"/>
      <c r="N385" s="1"/>
      <c r="O385" s="1"/>
      <c r="P385" s="6" t="s">
        <v>751</v>
      </c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21.75" hidden="false" customHeight="true" outlineLevel="0" collapsed="false">
      <c r="A386" s="4" t="n">
        <v>43475</v>
      </c>
      <c r="B386" s="18" t="s">
        <v>48</v>
      </c>
      <c r="C386" s="14" t="s">
        <v>15</v>
      </c>
      <c r="D386" s="14" t="s">
        <v>43</v>
      </c>
      <c r="E386" s="14" t="s">
        <v>109</v>
      </c>
      <c r="F386" s="19" t="s">
        <v>1183</v>
      </c>
      <c r="G386" s="18" t="n">
        <v>987417830</v>
      </c>
      <c r="H386" s="18" t="s">
        <v>1184</v>
      </c>
      <c r="I386" s="18"/>
      <c r="J386" s="1"/>
      <c r="K386" s="1" t="s">
        <v>21</v>
      </c>
      <c r="L386" s="1" t="s">
        <v>1185</v>
      </c>
      <c r="M386" s="1"/>
      <c r="N386" s="1"/>
      <c r="O386" s="1"/>
      <c r="P386" s="6" t="s">
        <v>21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21.75" hidden="false" customHeight="true" outlineLevel="0" collapsed="false">
      <c r="A387" s="4" t="n">
        <v>43475</v>
      </c>
      <c r="B387" s="18" t="s">
        <v>127</v>
      </c>
      <c r="C387" s="14" t="s">
        <v>15</v>
      </c>
      <c r="D387" s="14" t="s">
        <v>43</v>
      </c>
      <c r="E387" s="14" t="s">
        <v>109</v>
      </c>
      <c r="F387" s="19" t="s">
        <v>1186</v>
      </c>
      <c r="G387" s="18" t="n">
        <v>962549099</v>
      </c>
      <c r="H387" s="18" t="s">
        <v>1187</v>
      </c>
      <c r="I387" s="18"/>
      <c r="J387" s="1"/>
      <c r="K387" s="1" t="s">
        <v>1188</v>
      </c>
      <c r="L387" s="1"/>
      <c r="M387" s="1"/>
      <c r="N387" s="1"/>
      <c r="O387" s="1"/>
      <c r="P387" s="6" t="s">
        <v>133</v>
      </c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21.75" hidden="false" customHeight="true" outlineLevel="0" collapsed="false">
      <c r="A388" s="4" t="n">
        <v>43475</v>
      </c>
      <c r="B388" s="18" t="s">
        <v>911</v>
      </c>
      <c r="C388" s="14" t="s">
        <v>15</v>
      </c>
      <c r="D388" s="14" t="s">
        <v>16</v>
      </c>
      <c r="E388" s="14" t="s">
        <v>17</v>
      </c>
      <c r="F388" s="19" t="s">
        <v>1189</v>
      </c>
      <c r="G388" s="18" t="n">
        <v>989038879</v>
      </c>
      <c r="H388" s="18" t="s">
        <v>1190</v>
      </c>
      <c r="I388" s="18"/>
      <c r="J388" s="1"/>
      <c r="K388" s="1" t="s">
        <v>21</v>
      </c>
      <c r="L388" s="1" t="s">
        <v>21</v>
      </c>
      <c r="M388" s="1"/>
      <c r="N388" s="1"/>
      <c r="O388" s="1"/>
      <c r="P388" s="6" t="s">
        <v>21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21.75" hidden="false" customHeight="true" outlineLevel="0" collapsed="false">
      <c r="A389" s="4" t="n">
        <v>43476</v>
      </c>
      <c r="B389" s="18" t="s">
        <v>911</v>
      </c>
      <c r="C389" s="14" t="s">
        <v>15</v>
      </c>
      <c r="D389" s="14" t="s">
        <v>16</v>
      </c>
      <c r="E389" s="14" t="s">
        <v>17</v>
      </c>
      <c r="F389" s="19" t="s">
        <v>1191</v>
      </c>
      <c r="G389" s="18" t="n">
        <v>987503956</v>
      </c>
      <c r="H389" s="18" t="s">
        <v>1192</v>
      </c>
      <c r="I389" s="18"/>
      <c r="J389" s="1"/>
      <c r="K389" s="1" t="s">
        <v>21</v>
      </c>
      <c r="L389" s="1"/>
      <c r="M389" s="1"/>
      <c r="N389" s="1"/>
      <c r="O389" s="1"/>
      <c r="P389" s="6" t="s">
        <v>21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21.75" hidden="false" customHeight="true" outlineLevel="0" collapsed="false">
      <c r="A390" s="4" t="n">
        <v>43477</v>
      </c>
      <c r="B390" s="14" t="s">
        <v>48</v>
      </c>
      <c r="C390" s="14" t="s">
        <v>15</v>
      </c>
      <c r="D390" s="14" t="s">
        <v>43</v>
      </c>
      <c r="E390" s="14" t="s">
        <v>44</v>
      </c>
      <c r="F390" s="19" t="s">
        <v>1193</v>
      </c>
      <c r="G390" s="18" t="n">
        <v>998717553</v>
      </c>
      <c r="H390" s="18" t="s">
        <v>1194</v>
      </c>
      <c r="I390" s="18"/>
      <c r="J390" s="1"/>
      <c r="K390" s="1" t="s">
        <v>1195</v>
      </c>
      <c r="L390" s="1" t="s">
        <v>21</v>
      </c>
      <c r="M390" s="1"/>
      <c r="N390" s="1"/>
      <c r="O390" s="1"/>
      <c r="P390" s="6" t="s">
        <v>133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21.75" hidden="false" customHeight="true" outlineLevel="0" collapsed="false">
      <c r="A391" s="4" t="n">
        <v>43477</v>
      </c>
      <c r="B391" s="14" t="s">
        <v>81</v>
      </c>
      <c r="C391" s="14" t="s">
        <v>15</v>
      </c>
      <c r="D391" s="14" t="s">
        <v>43</v>
      </c>
      <c r="E391" s="14" t="s">
        <v>109</v>
      </c>
      <c r="F391" s="19" t="s">
        <v>1196</v>
      </c>
      <c r="G391" s="18" t="n">
        <v>42257445</v>
      </c>
      <c r="H391" s="18" t="s">
        <v>1197</v>
      </c>
      <c r="I391" s="18"/>
      <c r="J391" s="1"/>
      <c r="K391" s="1" t="s">
        <v>1198</v>
      </c>
      <c r="L391" s="1" t="s">
        <v>1199</v>
      </c>
      <c r="M391" s="1"/>
      <c r="N391" s="1"/>
      <c r="O391" s="1"/>
      <c r="P391" s="6" t="s">
        <v>133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21.75" hidden="false" customHeight="true" outlineLevel="0" collapsed="false">
      <c r="A392" s="4" t="n">
        <v>43479</v>
      </c>
      <c r="B392" s="18" t="s">
        <v>14</v>
      </c>
      <c r="C392" s="14" t="s">
        <v>15</v>
      </c>
      <c r="D392" s="14" t="s">
        <v>16</v>
      </c>
      <c r="E392" s="14" t="s">
        <v>17</v>
      </c>
      <c r="F392" s="14" t="s">
        <v>1200</v>
      </c>
      <c r="G392" s="14" t="n">
        <f aca="false">+593969408570</f>
        <v>593969408570</v>
      </c>
      <c r="H392" s="14" t="s">
        <v>1201</v>
      </c>
      <c r="I392" s="14"/>
      <c r="J392" s="18"/>
      <c r="K392" s="1" t="s">
        <v>1202</v>
      </c>
      <c r="L392" s="6" t="s">
        <v>1203</v>
      </c>
      <c r="M392" s="1" t="s">
        <v>1204</v>
      </c>
      <c r="N392" s="1"/>
      <c r="O392" s="1"/>
      <c r="P392" s="6" t="s">
        <v>31</v>
      </c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21.75" hidden="false" customHeight="true" outlineLevel="0" collapsed="false">
      <c r="A393" s="4" t="n">
        <v>43479</v>
      </c>
      <c r="B393" s="18" t="s">
        <v>14</v>
      </c>
      <c r="C393" s="14" t="s">
        <v>15</v>
      </c>
      <c r="D393" s="14" t="s">
        <v>16</v>
      </c>
      <c r="E393" s="14" t="s">
        <v>17</v>
      </c>
      <c r="F393" s="14" t="s">
        <v>1205</v>
      </c>
      <c r="G393" s="14" t="n">
        <f aca="false">+593982221684</f>
        <v>593982221684</v>
      </c>
      <c r="H393" s="14" t="s">
        <v>1206</v>
      </c>
      <c r="I393" s="14"/>
      <c r="J393" s="1"/>
      <c r="K393" s="1" t="s">
        <v>21</v>
      </c>
      <c r="L393" s="1"/>
      <c r="M393" s="1"/>
      <c r="N393" s="1"/>
      <c r="O393" s="1"/>
      <c r="P393" s="6" t="s">
        <v>21</v>
      </c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21.75" hidden="false" customHeight="true" outlineLevel="0" collapsed="false">
      <c r="A394" s="4" t="n">
        <v>43479</v>
      </c>
      <c r="B394" s="14" t="s">
        <v>14</v>
      </c>
      <c r="C394" s="14" t="s">
        <v>15</v>
      </c>
      <c r="D394" s="14" t="s">
        <v>16</v>
      </c>
      <c r="E394" s="14" t="s">
        <v>17</v>
      </c>
      <c r="F394" s="14" t="s">
        <v>1207</v>
      </c>
      <c r="G394" s="14" t="n">
        <f aca="false">+593939912498</f>
        <v>593939912498</v>
      </c>
      <c r="H394" s="14" t="s">
        <v>1208</v>
      </c>
      <c r="I394" s="14"/>
      <c r="J394" s="1"/>
      <c r="K394" s="1" t="s">
        <v>21</v>
      </c>
      <c r="L394" s="1"/>
      <c r="M394" s="1"/>
      <c r="N394" s="1"/>
      <c r="O394" s="1"/>
      <c r="P394" s="6" t="s">
        <v>21</v>
      </c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21.75" hidden="false" customHeight="true" outlineLevel="0" collapsed="false">
      <c r="A395" s="4" t="n">
        <v>43479</v>
      </c>
      <c r="B395" s="18" t="s">
        <v>14</v>
      </c>
      <c r="C395" s="14" t="s">
        <v>15</v>
      </c>
      <c r="D395" s="14" t="s">
        <v>16</v>
      </c>
      <c r="E395" s="14" t="s">
        <v>17</v>
      </c>
      <c r="F395" s="14" t="s">
        <v>1209</v>
      </c>
      <c r="G395" s="14" t="n">
        <f aca="false">+593994053955</f>
        <v>593994053955</v>
      </c>
      <c r="H395" s="14" t="s">
        <v>1210</v>
      </c>
      <c r="I395" s="14"/>
      <c r="J395" s="1"/>
      <c r="K395" s="1" t="s">
        <v>21</v>
      </c>
      <c r="L395" s="1"/>
      <c r="M395" s="1"/>
      <c r="N395" s="1"/>
      <c r="O395" s="1"/>
      <c r="P395" s="6" t="s">
        <v>21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21.75" hidden="false" customHeight="true" outlineLevel="0" collapsed="false">
      <c r="A396" s="4" t="n">
        <v>43479</v>
      </c>
      <c r="B396" s="18" t="s">
        <v>14</v>
      </c>
      <c r="C396" s="14" t="s">
        <v>15</v>
      </c>
      <c r="D396" s="14" t="s">
        <v>16</v>
      </c>
      <c r="E396" s="14" t="s">
        <v>17</v>
      </c>
      <c r="F396" s="14" t="s">
        <v>1211</v>
      </c>
      <c r="G396" s="14" t="n">
        <f aca="false">+593982942740</f>
        <v>593982942740</v>
      </c>
      <c r="H396" s="14" t="s">
        <v>1212</v>
      </c>
      <c r="I396" s="14"/>
      <c r="J396" s="1"/>
      <c r="K396" s="1" t="s">
        <v>1213</v>
      </c>
      <c r="L396" s="1"/>
      <c r="M396" s="1"/>
      <c r="N396" s="1"/>
      <c r="O396" s="1"/>
      <c r="P396" s="6" t="s">
        <v>31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21.75" hidden="false" customHeight="true" outlineLevel="0" collapsed="false">
      <c r="A397" s="4" t="n">
        <v>43479</v>
      </c>
      <c r="B397" s="18" t="s">
        <v>14</v>
      </c>
      <c r="C397" s="14" t="s">
        <v>15</v>
      </c>
      <c r="D397" s="14" t="s">
        <v>16</v>
      </c>
      <c r="E397" s="14" t="s">
        <v>17</v>
      </c>
      <c r="F397" s="14" t="s">
        <v>1214</v>
      </c>
      <c r="G397" s="14" t="n">
        <f aca="false">+5930979023405</f>
        <v>5930979023405</v>
      </c>
      <c r="H397" s="14" t="s">
        <v>1215</v>
      </c>
      <c r="I397" s="14"/>
      <c r="J397" s="1"/>
      <c r="K397" s="1" t="s">
        <v>541</v>
      </c>
      <c r="L397" s="1"/>
      <c r="M397" s="1"/>
      <c r="N397" s="1"/>
      <c r="O397" s="1"/>
      <c r="P397" s="6" t="s">
        <v>133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21.75" hidden="false" customHeight="true" outlineLevel="0" collapsed="false">
      <c r="A398" s="4" t="n">
        <v>43479</v>
      </c>
      <c r="B398" s="18" t="s">
        <v>14</v>
      </c>
      <c r="C398" s="14" t="s">
        <v>15</v>
      </c>
      <c r="D398" s="14" t="s">
        <v>16</v>
      </c>
      <c r="E398" s="14" t="s">
        <v>17</v>
      </c>
      <c r="F398" s="14" t="s">
        <v>1216</v>
      </c>
      <c r="G398" s="14" t="n">
        <f aca="false">+593982417754</f>
        <v>593982417754</v>
      </c>
      <c r="H398" s="14" t="s">
        <v>1217</v>
      </c>
      <c r="I398" s="14"/>
      <c r="J398" s="1"/>
      <c r="K398" s="1" t="s">
        <v>21</v>
      </c>
      <c r="L398" s="1"/>
      <c r="M398" s="1"/>
      <c r="N398" s="1"/>
      <c r="O398" s="1"/>
      <c r="P398" s="6" t="s">
        <v>21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21.75" hidden="false" customHeight="true" outlineLevel="0" collapsed="false">
      <c r="A399" s="4" t="n">
        <v>43479</v>
      </c>
      <c r="B399" s="18" t="s">
        <v>14</v>
      </c>
      <c r="C399" s="14" t="s">
        <v>15</v>
      </c>
      <c r="D399" s="14" t="s">
        <v>16</v>
      </c>
      <c r="E399" s="14" t="s">
        <v>17</v>
      </c>
      <c r="F399" s="19" t="s">
        <v>1218</v>
      </c>
      <c r="G399" s="18" t="n">
        <v>997533683</v>
      </c>
      <c r="H399" s="18" t="s">
        <v>1219</v>
      </c>
      <c r="I399" s="18"/>
      <c r="J399" s="1"/>
      <c r="K399" s="1" t="s">
        <v>1220</v>
      </c>
      <c r="L399" s="1"/>
      <c r="M399" s="1"/>
      <c r="N399" s="1"/>
      <c r="O399" s="1"/>
      <c r="P399" s="6" t="s">
        <v>133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21.75" hidden="false" customHeight="true" outlineLevel="0" collapsed="false">
      <c r="A400" s="4" t="n">
        <v>43479</v>
      </c>
      <c r="B400" s="8" t="s">
        <v>42</v>
      </c>
      <c r="C400" s="14" t="s">
        <v>15</v>
      </c>
      <c r="D400" s="14" t="s">
        <v>43</v>
      </c>
      <c r="E400" s="14" t="s">
        <v>44</v>
      </c>
      <c r="F400" s="14" t="s">
        <v>1221</v>
      </c>
      <c r="G400" s="14" t="n">
        <f aca="false">+5930995501944</f>
        <v>5930995501944</v>
      </c>
      <c r="H400" s="14" t="s">
        <v>1222</v>
      </c>
      <c r="I400" s="14"/>
      <c r="J400" s="1"/>
      <c r="K400" s="1" t="s">
        <v>21</v>
      </c>
      <c r="L400" s="1"/>
      <c r="M400" s="1"/>
      <c r="N400" s="1"/>
      <c r="O400" s="1"/>
      <c r="P400" s="6" t="s">
        <v>21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21.75" hidden="false" customHeight="true" outlineLevel="0" collapsed="false">
      <c r="A401" s="4" t="n">
        <v>43479</v>
      </c>
      <c r="B401" s="8" t="s">
        <v>42</v>
      </c>
      <c r="C401" s="14" t="s">
        <v>15</v>
      </c>
      <c r="D401" s="14" t="s">
        <v>43</v>
      </c>
      <c r="E401" s="14" t="s">
        <v>109</v>
      </c>
      <c r="F401" s="14" t="s">
        <v>1223</v>
      </c>
      <c r="G401" s="14" t="n">
        <f aca="false">+593984118095</f>
        <v>593984118095</v>
      </c>
      <c r="H401" s="14" t="s">
        <v>1224</v>
      </c>
      <c r="I401" s="14"/>
      <c r="J401" s="18"/>
      <c r="K401" s="1" t="s">
        <v>21</v>
      </c>
      <c r="L401" s="1"/>
      <c r="M401" s="1"/>
      <c r="N401" s="1"/>
      <c r="O401" s="1"/>
      <c r="P401" s="6" t="s">
        <v>21</v>
      </c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21.75" hidden="false" customHeight="true" outlineLevel="0" collapsed="false">
      <c r="A402" s="4" t="n">
        <v>43479</v>
      </c>
      <c r="B402" s="8" t="s">
        <v>42</v>
      </c>
      <c r="C402" s="14" t="s">
        <v>15</v>
      </c>
      <c r="D402" s="14" t="s">
        <v>43</v>
      </c>
      <c r="E402" s="14" t="s">
        <v>109</v>
      </c>
      <c r="F402" s="14" t="s">
        <v>1225</v>
      </c>
      <c r="G402" s="14" t="n">
        <f aca="false">+5930989924056</f>
        <v>5930989924056</v>
      </c>
      <c r="H402" s="14" t="s">
        <v>1226</v>
      </c>
      <c r="I402" s="14"/>
      <c r="J402" s="18"/>
      <c r="K402" s="1" t="s">
        <v>1227</v>
      </c>
      <c r="L402" s="1"/>
      <c r="M402" s="1"/>
      <c r="N402" s="1"/>
      <c r="O402" s="1"/>
      <c r="P402" s="6" t="s">
        <v>31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21.75" hidden="false" customHeight="true" outlineLevel="0" collapsed="false">
      <c r="A403" s="4" t="n">
        <v>43479</v>
      </c>
      <c r="B403" s="8" t="s">
        <v>42</v>
      </c>
      <c r="C403" s="14" t="s">
        <v>15</v>
      </c>
      <c r="D403" s="14" t="s">
        <v>43</v>
      </c>
      <c r="E403" s="14" t="s">
        <v>109</v>
      </c>
      <c r="F403" s="14" t="s">
        <v>1228</v>
      </c>
      <c r="G403" s="14" t="n">
        <v>990514320</v>
      </c>
      <c r="H403" s="14" t="s">
        <v>1229</v>
      </c>
      <c r="I403" s="14"/>
      <c r="J403" s="1"/>
      <c r="K403" s="1" t="s">
        <v>496</v>
      </c>
      <c r="L403" s="6" t="s">
        <v>1230</v>
      </c>
      <c r="M403" s="1" t="s">
        <v>1231</v>
      </c>
      <c r="N403" s="1"/>
      <c r="O403" s="1"/>
      <c r="P403" s="6" t="s">
        <v>887</v>
      </c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21.75" hidden="false" customHeight="true" outlineLevel="0" collapsed="false">
      <c r="A404" s="4" t="n">
        <v>43479</v>
      </c>
      <c r="B404" s="18" t="s">
        <v>166</v>
      </c>
      <c r="C404" s="14" t="s">
        <v>15</v>
      </c>
      <c r="D404" s="14" t="s">
        <v>16</v>
      </c>
      <c r="E404" s="14" t="s">
        <v>17</v>
      </c>
      <c r="F404" s="14" t="s">
        <v>1232</v>
      </c>
      <c r="G404" s="14" t="n">
        <f aca="false">+593982044530</f>
        <v>593982044530</v>
      </c>
      <c r="H404" s="14" t="s">
        <v>1233</v>
      </c>
      <c r="I404" s="14"/>
      <c r="J404" s="1"/>
      <c r="K404" s="1" t="s">
        <v>21</v>
      </c>
      <c r="L404" s="1"/>
      <c r="M404" s="1"/>
      <c r="N404" s="1"/>
      <c r="O404" s="1"/>
      <c r="P404" s="6" t="s">
        <v>21</v>
      </c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21.75" hidden="false" customHeight="true" outlineLevel="0" collapsed="false">
      <c r="A405" s="4" t="n">
        <v>43479</v>
      </c>
      <c r="B405" s="18" t="s">
        <v>166</v>
      </c>
      <c r="C405" s="14" t="s">
        <v>15</v>
      </c>
      <c r="D405" s="14" t="s">
        <v>16</v>
      </c>
      <c r="E405" s="14" t="s">
        <v>17</v>
      </c>
      <c r="F405" s="14" t="s">
        <v>1234</v>
      </c>
      <c r="G405" s="14" t="n">
        <f aca="false">+593999478089</f>
        <v>593999478089</v>
      </c>
      <c r="H405" s="14" t="s">
        <v>1235</v>
      </c>
      <c r="I405" s="14"/>
      <c r="J405" s="1"/>
      <c r="K405" s="1" t="s">
        <v>21</v>
      </c>
      <c r="L405" s="1"/>
      <c r="M405" s="1"/>
      <c r="N405" s="1"/>
      <c r="O405" s="1"/>
      <c r="P405" s="6" t="s">
        <v>21</v>
      </c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21.75" hidden="false" customHeight="true" outlineLevel="0" collapsed="false">
      <c r="A406" s="4" t="n">
        <v>43479</v>
      </c>
      <c r="B406" s="18" t="s">
        <v>166</v>
      </c>
      <c r="C406" s="14" t="s">
        <v>15</v>
      </c>
      <c r="D406" s="14" t="s">
        <v>16</v>
      </c>
      <c r="E406" s="14" t="s">
        <v>17</v>
      </c>
      <c r="F406" s="14" t="s">
        <v>1236</v>
      </c>
      <c r="G406" s="14" t="n">
        <f aca="false">+593967757405</f>
        <v>593967757405</v>
      </c>
      <c r="H406" s="14" t="s">
        <v>1237</v>
      </c>
      <c r="I406" s="14"/>
      <c r="J406" s="1"/>
      <c r="K406" s="1" t="s">
        <v>1238</v>
      </c>
      <c r="L406" s="6" t="s">
        <v>1239</v>
      </c>
      <c r="M406" s="1" t="s">
        <v>21</v>
      </c>
      <c r="N406" s="1"/>
      <c r="O406" s="1"/>
      <c r="P406" s="6" t="s">
        <v>133</v>
      </c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21.75" hidden="false" customHeight="true" outlineLevel="0" collapsed="false">
      <c r="A407" s="4" t="n">
        <v>43479</v>
      </c>
      <c r="B407" s="18" t="s">
        <v>323</v>
      </c>
      <c r="C407" s="14" t="s">
        <v>15</v>
      </c>
      <c r="D407" s="14" t="s">
        <v>43</v>
      </c>
      <c r="E407" s="14" t="s">
        <v>109</v>
      </c>
      <c r="F407" s="14" t="s">
        <v>1240</v>
      </c>
      <c r="G407" s="14" t="n">
        <f aca="false">+593969601155</f>
        <v>593969601155</v>
      </c>
      <c r="H407" s="14" t="s">
        <v>1241</v>
      </c>
      <c r="I407" s="14"/>
      <c r="J407" s="1"/>
      <c r="K407" s="1" t="s">
        <v>21</v>
      </c>
      <c r="L407" s="1"/>
      <c r="M407" s="1"/>
      <c r="N407" s="1"/>
      <c r="O407" s="1"/>
      <c r="P407" s="6" t="s">
        <v>21</v>
      </c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21.75" hidden="false" customHeight="true" outlineLevel="0" collapsed="false">
      <c r="A408" s="4" t="n">
        <v>43479</v>
      </c>
      <c r="B408" s="18" t="s">
        <v>48</v>
      </c>
      <c r="C408" s="14" t="s">
        <v>15</v>
      </c>
      <c r="D408" s="14" t="s">
        <v>43</v>
      </c>
      <c r="E408" s="14" t="s">
        <v>44</v>
      </c>
      <c r="F408" s="14" t="s">
        <v>1242</v>
      </c>
      <c r="G408" s="14" t="n">
        <f aca="false">+593991361119</f>
        <v>593991361119</v>
      </c>
      <c r="H408" s="14" t="s">
        <v>1243</v>
      </c>
      <c r="I408" s="14" t="s">
        <v>68</v>
      </c>
      <c r="J408" s="14"/>
      <c r="K408" s="1" t="s">
        <v>21</v>
      </c>
      <c r="L408" s="1"/>
      <c r="M408" s="1"/>
      <c r="N408" s="1"/>
      <c r="O408" s="1"/>
      <c r="P408" s="6" t="s">
        <v>21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21.75" hidden="false" customHeight="true" outlineLevel="0" collapsed="false">
      <c r="A409" s="4" t="n">
        <v>43479</v>
      </c>
      <c r="B409" s="18" t="s">
        <v>48</v>
      </c>
      <c r="C409" s="14" t="s">
        <v>15</v>
      </c>
      <c r="D409" s="14" t="s">
        <v>43</v>
      </c>
      <c r="E409" s="14" t="s">
        <v>44</v>
      </c>
      <c r="F409" s="14" t="s">
        <v>1244</v>
      </c>
      <c r="G409" s="14" t="n">
        <f aca="false">+593979710117</f>
        <v>593979710117</v>
      </c>
      <c r="H409" s="14" t="s">
        <v>1245</v>
      </c>
      <c r="I409" s="14" t="s">
        <v>181</v>
      </c>
      <c r="J409" s="14"/>
      <c r="K409" s="1" t="s">
        <v>21</v>
      </c>
      <c r="L409" s="1"/>
      <c r="M409" s="1"/>
      <c r="N409" s="1"/>
      <c r="O409" s="1"/>
      <c r="P409" s="6" t="s">
        <v>21</v>
      </c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21.75" hidden="false" customHeight="true" outlineLevel="0" collapsed="false">
      <c r="A410" s="4" t="n">
        <v>43479</v>
      </c>
      <c r="B410" s="18" t="s">
        <v>48</v>
      </c>
      <c r="C410" s="14" t="s">
        <v>15</v>
      </c>
      <c r="D410" s="14" t="s">
        <v>43</v>
      </c>
      <c r="E410" s="18" t="s">
        <v>44</v>
      </c>
      <c r="F410" s="19" t="s">
        <v>1246</v>
      </c>
      <c r="G410" s="18" t="n">
        <v>996925825</v>
      </c>
      <c r="H410" s="18" t="s">
        <v>1247</v>
      </c>
      <c r="I410" s="18"/>
      <c r="J410" s="1"/>
      <c r="K410" s="1" t="s">
        <v>21</v>
      </c>
      <c r="L410" s="1"/>
      <c r="M410" s="1"/>
      <c r="N410" s="1"/>
      <c r="O410" s="1"/>
      <c r="P410" s="6" t="s">
        <v>21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21.75" hidden="false" customHeight="true" outlineLevel="0" collapsed="false">
      <c r="A411" s="4" t="n">
        <v>43479</v>
      </c>
      <c r="B411" s="18" t="s">
        <v>48</v>
      </c>
      <c r="C411" s="14" t="s">
        <v>15</v>
      </c>
      <c r="D411" s="14" t="s">
        <v>43</v>
      </c>
      <c r="E411" s="14" t="s">
        <v>44</v>
      </c>
      <c r="F411" s="14" t="s">
        <v>1248</v>
      </c>
      <c r="G411" s="14" t="n">
        <f aca="false">+593969659908</f>
        <v>593969659908</v>
      </c>
      <c r="H411" s="14" t="s">
        <v>1249</v>
      </c>
      <c r="I411" s="14"/>
      <c r="J411" s="1"/>
      <c r="K411" s="1" t="s">
        <v>21</v>
      </c>
      <c r="L411" s="1"/>
      <c r="M411" s="1"/>
      <c r="N411" s="1"/>
      <c r="O411" s="1"/>
      <c r="P411" s="6" t="s">
        <v>21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21.75" hidden="false" customHeight="true" outlineLevel="0" collapsed="false">
      <c r="A412" s="4" t="n">
        <v>43479</v>
      </c>
      <c r="B412" s="18" t="s">
        <v>48</v>
      </c>
      <c r="C412" s="14" t="s">
        <v>15</v>
      </c>
      <c r="D412" s="14" t="s">
        <v>43</v>
      </c>
      <c r="E412" s="14" t="s">
        <v>44</v>
      </c>
      <c r="F412" s="14" t="s">
        <v>1250</v>
      </c>
      <c r="G412" s="14" t="n">
        <f aca="false">+593988151135</f>
        <v>593988151135</v>
      </c>
      <c r="H412" s="14" t="s">
        <v>1251</v>
      </c>
      <c r="I412" s="14"/>
      <c r="J412" s="1"/>
      <c r="K412" s="1" t="s">
        <v>21</v>
      </c>
      <c r="L412" s="1"/>
      <c r="M412" s="1"/>
      <c r="N412" s="1"/>
      <c r="O412" s="1"/>
      <c r="P412" s="6" t="s">
        <v>21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21.75" hidden="false" customHeight="true" outlineLevel="0" collapsed="false">
      <c r="A413" s="4" t="n">
        <v>43479</v>
      </c>
      <c r="B413" s="14" t="s">
        <v>48</v>
      </c>
      <c r="C413" s="14" t="s">
        <v>15</v>
      </c>
      <c r="D413" s="14" t="s">
        <v>43</v>
      </c>
      <c r="E413" s="14" t="s">
        <v>109</v>
      </c>
      <c r="F413" s="14" t="s">
        <v>1252</v>
      </c>
      <c r="G413" s="14" t="n">
        <f aca="false">+593988738450</f>
        <v>593988738450</v>
      </c>
      <c r="H413" s="14" t="s">
        <v>1253</v>
      </c>
      <c r="I413" s="14"/>
      <c r="J413" s="18"/>
      <c r="K413" s="1" t="s">
        <v>21</v>
      </c>
      <c r="L413" s="1"/>
      <c r="M413" s="1"/>
      <c r="N413" s="1"/>
      <c r="O413" s="1"/>
      <c r="P413" s="6" t="s">
        <v>21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21.75" hidden="false" customHeight="true" outlineLevel="0" collapsed="false">
      <c r="A414" s="4" t="n">
        <v>43479</v>
      </c>
      <c r="B414" s="14" t="s">
        <v>48</v>
      </c>
      <c r="C414" s="14" t="s">
        <v>15</v>
      </c>
      <c r="D414" s="14" t="s">
        <v>43</v>
      </c>
      <c r="E414" s="14" t="s">
        <v>109</v>
      </c>
      <c r="F414" s="14" t="s">
        <v>1254</v>
      </c>
      <c r="G414" s="14" t="n">
        <f aca="false">+593958994698</f>
        <v>593958994698</v>
      </c>
      <c r="H414" s="14" t="s">
        <v>1255</v>
      </c>
      <c r="I414" s="14"/>
      <c r="J414" s="18"/>
      <c r="K414" s="1" t="s">
        <v>1256</v>
      </c>
      <c r="L414" s="6" t="s">
        <v>1257</v>
      </c>
      <c r="M414" s="1" t="s">
        <v>21</v>
      </c>
      <c r="N414" s="1"/>
      <c r="O414" s="1"/>
      <c r="P414" s="6" t="s">
        <v>133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21.75" hidden="false" customHeight="true" outlineLevel="0" collapsed="false">
      <c r="A415" s="4" t="n">
        <v>43479</v>
      </c>
      <c r="B415" s="14" t="s">
        <v>48</v>
      </c>
      <c r="C415" s="14" t="s">
        <v>15</v>
      </c>
      <c r="D415" s="14" t="s">
        <v>43</v>
      </c>
      <c r="E415" s="14" t="s">
        <v>109</v>
      </c>
      <c r="F415" s="14" t="s">
        <v>1258</v>
      </c>
      <c r="G415" s="14" t="n">
        <f aca="false">+593968499990</f>
        <v>593968499990</v>
      </c>
      <c r="H415" s="14" t="s">
        <v>1259</v>
      </c>
      <c r="I415" s="14"/>
      <c r="J415" s="18"/>
      <c r="K415" s="1" t="s">
        <v>1260</v>
      </c>
      <c r="L415" s="1" t="s">
        <v>21</v>
      </c>
      <c r="M415" s="1"/>
      <c r="N415" s="1"/>
      <c r="O415" s="1"/>
      <c r="P415" s="6" t="s">
        <v>21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21.75" hidden="false" customHeight="true" outlineLevel="0" collapsed="false">
      <c r="A416" s="4" t="n">
        <v>43479</v>
      </c>
      <c r="B416" s="14" t="s">
        <v>48</v>
      </c>
      <c r="C416" s="14" t="s">
        <v>15</v>
      </c>
      <c r="D416" s="14" t="s">
        <v>43</v>
      </c>
      <c r="E416" s="14" t="s">
        <v>109</v>
      </c>
      <c r="F416" s="14" t="s">
        <v>1261</v>
      </c>
      <c r="G416" s="14" t="n">
        <f aca="false">+593958949625</f>
        <v>593958949625</v>
      </c>
      <c r="H416" s="14" t="s">
        <v>1262</v>
      </c>
      <c r="I416" s="14"/>
      <c r="J416" s="18"/>
      <c r="K416" s="1" t="s">
        <v>580</v>
      </c>
      <c r="L416" s="1"/>
      <c r="M416" s="1"/>
      <c r="N416" s="1"/>
      <c r="O416" s="1"/>
      <c r="P416" s="6" t="s">
        <v>341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21.75" hidden="false" customHeight="true" outlineLevel="0" collapsed="false">
      <c r="A417" s="4" t="n">
        <v>43479</v>
      </c>
      <c r="B417" s="18" t="s">
        <v>48</v>
      </c>
      <c r="C417" s="14" t="s">
        <v>15</v>
      </c>
      <c r="D417" s="14" t="s">
        <v>43</v>
      </c>
      <c r="E417" s="14" t="s">
        <v>109</v>
      </c>
      <c r="F417" s="19" t="s">
        <v>1263</v>
      </c>
      <c r="G417" s="18" t="n">
        <v>998437435</v>
      </c>
      <c r="H417" s="26" t="s">
        <v>1264</v>
      </c>
      <c r="I417" s="26"/>
      <c r="J417" s="1"/>
      <c r="K417" s="1" t="s">
        <v>1265</v>
      </c>
      <c r="L417" s="1"/>
      <c r="M417" s="1"/>
      <c r="N417" s="1"/>
      <c r="O417" s="1"/>
      <c r="P417" s="6" t="s">
        <v>21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21.75" hidden="false" customHeight="true" outlineLevel="0" collapsed="false">
      <c r="A418" s="4" t="n">
        <v>43479</v>
      </c>
      <c r="B418" s="14" t="s">
        <v>48</v>
      </c>
      <c r="C418" s="14" t="s">
        <v>15</v>
      </c>
      <c r="D418" s="14" t="s">
        <v>43</v>
      </c>
      <c r="E418" s="14" t="s">
        <v>109</v>
      </c>
      <c r="F418" s="14" t="s">
        <v>1266</v>
      </c>
      <c r="G418" s="14" t="n">
        <f aca="false">+5930994344091</f>
        <v>5930994344091</v>
      </c>
      <c r="H418" s="14" t="s">
        <v>1267</v>
      </c>
      <c r="I418" s="14"/>
      <c r="J418" s="1"/>
      <c r="K418" s="1" t="s">
        <v>1268</v>
      </c>
      <c r="L418" s="1"/>
      <c r="M418" s="1"/>
      <c r="N418" s="1"/>
      <c r="O418" s="1"/>
      <c r="P418" s="6" t="s">
        <v>31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21.75" hidden="false" customHeight="true" outlineLevel="0" collapsed="false">
      <c r="A419" s="4" t="n">
        <v>43479</v>
      </c>
      <c r="B419" s="14" t="s">
        <v>48</v>
      </c>
      <c r="C419" s="14" t="s">
        <v>15</v>
      </c>
      <c r="D419" s="14" t="s">
        <v>43</v>
      </c>
      <c r="E419" s="14" t="s">
        <v>109</v>
      </c>
      <c r="F419" s="14" t="s">
        <v>1269</v>
      </c>
      <c r="G419" s="14" t="n">
        <f aca="false">+593994389390</f>
        <v>593994389390</v>
      </c>
      <c r="H419" s="14" t="s">
        <v>1270</v>
      </c>
      <c r="I419" s="14"/>
      <c r="J419" s="1"/>
      <c r="K419" s="1" t="s">
        <v>21</v>
      </c>
      <c r="L419" s="1"/>
      <c r="M419" s="1"/>
      <c r="N419" s="1"/>
      <c r="O419" s="1"/>
      <c r="P419" s="6" t="s">
        <v>21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21.75" hidden="false" customHeight="true" outlineLevel="0" collapsed="false">
      <c r="A420" s="4" t="n">
        <v>43479</v>
      </c>
      <c r="B420" s="18" t="s">
        <v>48</v>
      </c>
      <c r="C420" s="14" t="s">
        <v>15</v>
      </c>
      <c r="D420" s="14" t="s">
        <v>43</v>
      </c>
      <c r="E420" s="14" t="s">
        <v>109</v>
      </c>
      <c r="F420" s="19" t="s">
        <v>1271</v>
      </c>
      <c r="G420" s="18" t="n">
        <v>963134182</v>
      </c>
      <c r="H420" s="18" t="s">
        <v>1272</v>
      </c>
      <c r="I420" s="18"/>
      <c r="J420" s="1"/>
      <c r="K420" s="1" t="s">
        <v>21</v>
      </c>
      <c r="L420" s="1"/>
      <c r="M420" s="1"/>
      <c r="N420" s="1"/>
      <c r="O420" s="1"/>
      <c r="P420" s="6" t="s">
        <v>21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21.75" hidden="false" customHeight="true" outlineLevel="0" collapsed="false">
      <c r="A421" s="4" t="n">
        <v>43479</v>
      </c>
      <c r="B421" s="18" t="s">
        <v>48</v>
      </c>
      <c r="C421" s="14" t="s">
        <v>15</v>
      </c>
      <c r="D421" s="14" t="s">
        <v>43</v>
      </c>
      <c r="E421" s="14" t="s">
        <v>109</v>
      </c>
      <c r="F421" s="19" t="s">
        <v>1273</v>
      </c>
      <c r="G421" s="18" t="n">
        <v>982960705</v>
      </c>
      <c r="H421" s="18" t="s">
        <v>1274</v>
      </c>
      <c r="I421" s="18"/>
      <c r="J421" s="1"/>
      <c r="K421" s="1" t="s">
        <v>21</v>
      </c>
      <c r="L421" s="1"/>
      <c r="M421" s="1"/>
      <c r="N421" s="1"/>
      <c r="O421" s="1"/>
      <c r="P421" s="6" t="s">
        <v>21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21.75" hidden="false" customHeight="true" outlineLevel="0" collapsed="false">
      <c r="A422" s="4" t="n">
        <v>43479</v>
      </c>
      <c r="B422" s="14" t="s">
        <v>48</v>
      </c>
      <c r="C422" s="14" t="s">
        <v>15</v>
      </c>
      <c r="D422" s="14" t="s">
        <v>43</v>
      </c>
      <c r="E422" s="14" t="s">
        <v>109</v>
      </c>
      <c r="F422" s="14" t="s">
        <v>1209</v>
      </c>
      <c r="G422" s="14" t="n">
        <f aca="false">+593994053955</f>
        <v>593994053955</v>
      </c>
      <c r="H422" s="14" t="s">
        <v>1210</v>
      </c>
      <c r="I422" s="14"/>
      <c r="J422" s="1"/>
      <c r="K422" s="1" t="s">
        <v>21</v>
      </c>
      <c r="L422" s="1"/>
      <c r="M422" s="1"/>
      <c r="N422" s="1"/>
      <c r="O422" s="1"/>
      <c r="P422" s="6" t="s">
        <v>21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21.75" hidden="false" customHeight="true" outlineLevel="0" collapsed="false">
      <c r="A423" s="4" t="n">
        <v>43479</v>
      </c>
      <c r="B423" s="18" t="s">
        <v>48</v>
      </c>
      <c r="C423" s="14" t="s">
        <v>15</v>
      </c>
      <c r="D423" s="14" t="s">
        <v>43</v>
      </c>
      <c r="E423" s="14" t="s">
        <v>109</v>
      </c>
      <c r="F423" s="19" t="s">
        <v>1275</v>
      </c>
      <c r="G423" s="18" t="n">
        <v>997079271</v>
      </c>
      <c r="H423" s="18" t="s">
        <v>1276</v>
      </c>
      <c r="I423" s="18"/>
      <c r="J423" s="1"/>
      <c r="K423" s="1" t="s">
        <v>1277</v>
      </c>
      <c r="L423" s="1"/>
      <c r="M423" s="1"/>
      <c r="N423" s="1"/>
      <c r="O423" s="1"/>
      <c r="P423" s="6" t="s">
        <v>887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21.75" hidden="false" customHeight="true" outlineLevel="0" collapsed="false">
      <c r="A424" s="4" t="n">
        <v>43479</v>
      </c>
      <c r="B424" s="18" t="s">
        <v>48</v>
      </c>
      <c r="C424" s="14" t="s">
        <v>15</v>
      </c>
      <c r="D424" s="14" t="s">
        <v>43</v>
      </c>
      <c r="E424" s="14" t="s">
        <v>109</v>
      </c>
      <c r="F424" s="19" t="s">
        <v>1278</v>
      </c>
      <c r="G424" s="18" t="n">
        <v>989999510</v>
      </c>
      <c r="H424" s="18" t="s">
        <v>1279</v>
      </c>
      <c r="I424" s="18"/>
      <c r="J424" s="1"/>
      <c r="K424" s="1" t="s">
        <v>1280</v>
      </c>
      <c r="L424" s="1"/>
      <c r="M424" s="1"/>
      <c r="N424" s="1"/>
      <c r="O424" s="1"/>
      <c r="P424" s="6" t="s">
        <v>133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21.75" hidden="false" customHeight="true" outlineLevel="0" collapsed="false">
      <c r="A425" s="4" t="n">
        <v>43479</v>
      </c>
      <c r="B425" s="18" t="s">
        <v>48</v>
      </c>
      <c r="C425" s="14" t="s">
        <v>15</v>
      </c>
      <c r="D425" s="14" t="s">
        <v>43</v>
      </c>
      <c r="E425" s="14" t="s">
        <v>109</v>
      </c>
      <c r="F425" s="19" t="s">
        <v>1281</v>
      </c>
      <c r="G425" s="18" t="n">
        <v>992213170</v>
      </c>
      <c r="H425" s="18" t="s">
        <v>1282</v>
      </c>
      <c r="I425" s="18"/>
      <c r="J425" s="1"/>
      <c r="K425" s="1" t="s">
        <v>1283</v>
      </c>
      <c r="L425" s="1"/>
      <c r="M425" s="1"/>
      <c r="N425" s="1"/>
      <c r="O425" s="1"/>
      <c r="P425" s="6" t="s">
        <v>133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21.75" hidden="false" customHeight="true" outlineLevel="0" collapsed="false">
      <c r="A426" s="4" t="n">
        <v>43479</v>
      </c>
      <c r="B426" s="14" t="s">
        <v>532</v>
      </c>
      <c r="C426" s="14" t="s">
        <v>15</v>
      </c>
      <c r="D426" s="14" t="s">
        <v>43</v>
      </c>
      <c r="E426" s="14" t="s">
        <v>109</v>
      </c>
      <c r="F426" s="14" t="s">
        <v>1284</v>
      </c>
      <c r="G426" s="14" t="n">
        <f aca="false">+5930985247828</f>
        <v>5930985247828</v>
      </c>
      <c r="H426" s="14" t="s">
        <v>1285</v>
      </c>
      <c r="I426" s="14"/>
      <c r="J426" s="1"/>
      <c r="K426" s="1" t="s">
        <v>1286</v>
      </c>
      <c r="L426" s="6" t="s">
        <v>1287</v>
      </c>
      <c r="M426" s="1"/>
      <c r="N426" s="1"/>
      <c r="O426" s="1"/>
      <c r="P426" s="6" t="s">
        <v>133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21.75" hidden="false" customHeight="true" outlineLevel="0" collapsed="false">
      <c r="A427" s="4" t="n">
        <v>43479</v>
      </c>
      <c r="B427" s="18" t="s">
        <v>532</v>
      </c>
      <c r="C427" s="14" t="s">
        <v>15</v>
      </c>
      <c r="D427" s="14" t="s">
        <v>43</v>
      </c>
      <c r="E427" s="14" t="s">
        <v>109</v>
      </c>
      <c r="F427" s="19" t="s">
        <v>1288</v>
      </c>
      <c r="G427" s="18" t="n">
        <v>995133021</v>
      </c>
      <c r="H427" s="18" t="s">
        <v>1289</v>
      </c>
      <c r="I427" s="18"/>
      <c r="J427" s="1"/>
      <c r="K427" s="1" t="s">
        <v>21</v>
      </c>
      <c r="L427" s="1"/>
      <c r="M427" s="1"/>
      <c r="N427" s="1"/>
      <c r="O427" s="1"/>
      <c r="P427" s="6" t="s">
        <v>21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21.75" hidden="false" customHeight="true" outlineLevel="0" collapsed="false">
      <c r="A428" s="4" t="n">
        <v>43479</v>
      </c>
      <c r="B428" s="14" t="s">
        <v>127</v>
      </c>
      <c r="C428" s="14" t="s">
        <v>15</v>
      </c>
      <c r="D428" s="14" t="s">
        <v>43</v>
      </c>
      <c r="E428" s="14" t="s">
        <v>109</v>
      </c>
      <c r="F428" s="14" t="s">
        <v>1290</v>
      </c>
      <c r="G428" s="14" t="n">
        <f aca="false">+593982937248</f>
        <v>593982937248</v>
      </c>
      <c r="H428" s="14" t="s">
        <v>1291</v>
      </c>
      <c r="I428" s="14"/>
      <c r="J428" s="18"/>
      <c r="K428" s="1" t="s">
        <v>1292</v>
      </c>
      <c r="L428" s="1"/>
      <c r="M428" s="1"/>
      <c r="N428" s="1"/>
      <c r="O428" s="1"/>
      <c r="P428" s="6" t="s">
        <v>21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21.75" hidden="false" customHeight="true" outlineLevel="0" collapsed="false">
      <c r="A429" s="4" t="n">
        <v>43479</v>
      </c>
      <c r="B429" s="18" t="s">
        <v>127</v>
      </c>
      <c r="C429" s="14" t="s">
        <v>15</v>
      </c>
      <c r="D429" s="14" t="s">
        <v>43</v>
      </c>
      <c r="E429" s="14" t="s">
        <v>109</v>
      </c>
      <c r="F429" s="19" t="s">
        <v>1293</v>
      </c>
      <c r="G429" s="18" t="n">
        <v>962725274</v>
      </c>
      <c r="H429" s="18" t="s">
        <v>1294</v>
      </c>
      <c r="I429" s="18"/>
      <c r="J429" s="1"/>
      <c r="K429" s="1" t="s">
        <v>21</v>
      </c>
      <c r="L429" s="1"/>
      <c r="M429" s="1"/>
      <c r="N429" s="1"/>
      <c r="O429" s="1"/>
      <c r="P429" s="6" t="s">
        <v>21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21.75" hidden="false" customHeight="true" outlineLevel="0" collapsed="false">
      <c r="A430" s="4" t="n">
        <v>43479</v>
      </c>
      <c r="B430" s="18" t="s">
        <v>127</v>
      </c>
      <c r="C430" s="14" t="s">
        <v>15</v>
      </c>
      <c r="D430" s="14" t="s">
        <v>43</v>
      </c>
      <c r="E430" s="14" t="s">
        <v>109</v>
      </c>
      <c r="F430" s="19" t="s">
        <v>599</v>
      </c>
      <c r="G430" s="18" t="n">
        <v>997682893</v>
      </c>
      <c r="H430" s="18" t="s">
        <v>600</v>
      </c>
      <c r="I430" s="18"/>
      <c r="J430" s="1"/>
      <c r="K430" s="1" t="s">
        <v>21</v>
      </c>
      <c r="L430" s="1"/>
      <c r="M430" s="1"/>
      <c r="N430" s="1"/>
      <c r="O430" s="1"/>
      <c r="P430" s="6" t="s">
        <v>21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21.75" hidden="false" customHeight="true" outlineLevel="0" collapsed="false">
      <c r="A431" s="4" t="n">
        <v>43479</v>
      </c>
      <c r="B431" s="18" t="s">
        <v>127</v>
      </c>
      <c r="C431" s="14" t="s">
        <v>15</v>
      </c>
      <c r="D431" s="14" t="s">
        <v>43</v>
      </c>
      <c r="E431" s="14" t="s">
        <v>109</v>
      </c>
      <c r="F431" s="19" t="s">
        <v>1295</v>
      </c>
      <c r="G431" s="18" t="n">
        <v>990051044</v>
      </c>
      <c r="H431" s="18" t="s">
        <v>1296</v>
      </c>
      <c r="I431" s="18"/>
      <c r="J431" s="1"/>
      <c r="K431" s="1" t="s">
        <v>21</v>
      </c>
      <c r="L431" s="1"/>
      <c r="M431" s="1"/>
      <c r="N431" s="1"/>
      <c r="O431" s="1"/>
      <c r="P431" s="6" t="s">
        <v>21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21.75" hidden="false" customHeight="true" outlineLevel="0" collapsed="false">
      <c r="A432" s="4" t="n">
        <v>43479</v>
      </c>
      <c r="B432" s="14" t="s">
        <v>127</v>
      </c>
      <c r="C432" s="14" t="s">
        <v>15</v>
      </c>
      <c r="D432" s="14" t="s">
        <v>43</v>
      </c>
      <c r="E432" s="14" t="s">
        <v>109</v>
      </c>
      <c r="F432" s="14" t="s">
        <v>1297</v>
      </c>
      <c r="G432" s="14" t="n">
        <f aca="false">+593985366717</f>
        <v>593985366717</v>
      </c>
      <c r="H432" s="14" t="s">
        <v>1298</v>
      </c>
      <c r="I432" s="14"/>
      <c r="J432" s="1"/>
      <c r="K432" s="1" t="s">
        <v>1299</v>
      </c>
      <c r="L432" s="1"/>
      <c r="M432" s="1"/>
      <c r="N432" s="1"/>
      <c r="O432" s="1"/>
      <c r="P432" s="6" t="s">
        <v>133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21.75" hidden="false" customHeight="true" outlineLevel="0" collapsed="false">
      <c r="A433" s="21" t="n">
        <v>43479</v>
      </c>
      <c r="B433" s="22" t="s">
        <v>127</v>
      </c>
      <c r="C433" s="23" t="s">
        <v>15</v>
      </c>
      <c r="D433" s="23" t="s">
        <v>43</v>
      </c>
      <c r="E433" s="14" t="s">
        <v>109</v>
      </c>
      <c r="F433" s="24" t="s">
        <v>1186</v>
      </c>
      <c r="G433" s="22" t="n">
        <v>962549099</v>
      </c>
      <c r="H433" s="22" t="s">
        <v>1187</v>
      </c>
      <c r="I433" s="1"/>
      <c r="J433" s="1"/>
      <c r="K433" s="1" t="s">
        <v>1300</v>
      </c>
      <c r="L433" s="1"/>
      <c r="M433" s="1"/>
      <c r="N433" s="1"/>
      <c r="O433" s="1"/>
      <c r="P433" s="6" t="s">
        <v>133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21.75" hidden="false" customHeight="true" outlineLevel="0" collapsed="false">
      <c r="A434" s="4" t="n">
        <v>43479</v>
      </c>
      <c r="B434" s="14" t="s">
        <v>1114</v>
      </c>
      <c r="C434" s="14" t="s">
        <v>15</v>
      </c>
      <c r="D434" s="14" t="s">
        <v>43</v>
      </c>
      <c r="E434" s="14" t="s">
        <v>109</v>
      </c>
      <c r="F434" s="14" t="s">
        <v>1301</v>
      </c>
      <c r="G434" s="14" t="n">
        <f aca="false">+593967535865</f>
        <v>593967535865</v>
      </c>
      <c r="H434" s="14" t="s">
        <v>1302</v>
      </c>
      <c r="I434" s="14"/>
      <c r="J434" s="1"/>
      <c r="K434" s="1" t="s">
        <v>21</v>
      </c>
      <c r="L434" s="1"/>
      <c r="M434" s="1"/>
      <c r="N434" s="1"/>
      <c r="O434" s="1"/>
      <c r="P434" s="6" t="s">
        <v>21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21.75" hidden="false" customHeight="true" outlineLevel="0" collapsed="false">
      <c r="A435" s="4" t="n">
        <v>43479</v>
      </c>
      <c r="B435" s="14" t="s">
        <v>1114</v>
      </c>
      <c r="C435" s="14" t="s">
        <v>15</v>
      </c>
      <c r="D435" s="14" t="s">
        <v>43</v>
      </c>
      <c r="E435" s="14" t="s">
        <v>109</v>
      </c>
      <c r="F435" s="14" t="s">
        <v>1303</v>
      </c>
      <c r="G435" s="14" t="n">
        <f aca="false">+593988267035</f>
        <v>593988267035</v>
      </c>
      <c r="H435" s="14" t="s">
        <v>1304</v>
      </c>
      <c r="I435" s="14"/>
      <c r="J435" s="1"/>
      <c r="K435" s="1" t="s">
        <v>1305</v>
      </c>
      <c r="L435" s="1"/>
      <c r="M435" s="1"/>
      <c r="N435" s="1"/>
      <c r="O435" s="1"/>
      <c r="P435" s="6" t="s">
        <v>58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21.75" hidden="false" customHeight="true" outlineLevel="0" collapsed="false">
      <c r="A436" s="4" t="n">
        <v>43479</v>
      </c>
      <c r="B436" s="18" t="s">
        <v>1114</v>
      </c>
      <c r="C436" s="14" t="s">
        <v>15</v>
      </c>
      <c r="D436" s="14" t="s">
        <v>43</v>
      </c>
      <c r="E436" s="14" t="s">
        <v>109</v>
      </c>
      <c r="F436" s="19" t="s">
        <v>1306</v>
      </c>
      <c r="G436" s="18" t="n">
        <v>959612394</v>
      </c>
      <c r="H436" s="18" t="s">
        <v>1307</v>
      </c>
      <c r="I436" s="18"/>
      <c r="J436" s="1"/>
      <c r="K436" s="1" t="s">
        <v>1308</v>
      </c>
      <c r="L436" s="6" t="s">
        <v>1309</v>
      </c>
      <c r="M436" s="1"/>
      <c r="N436" s="1"/>
      <c r="O436" s="1"/>
      <c r="P436" s="6" t="s">
        <v>133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21.75" hidden="false" customHeight="true" outlineLevel="0" collapsed="false">
      <c r="A437" s="4" t="n">
        <v>43479</v>
      </c>
      <c r="B437" s="18" t="s">
        <v>1114</v>
      </c>
      <c r="C437" s="14" t="s">
        <v>15</v>
      </c>
      <c r="D437" s="14" t="s">
        <v>43</v>
      </c>
      <c r="E437" s="14" t="s">
        <v>109</v>
      </c>
      <c r="F437" s="19" t="s">
        <v>1310</v>
      </c>
      <c r="G437" s="18" t="n">
        <v>981039967</v>
      </c>
      <c r="H437" s="18" t="s">
        <v>1311</v>
      </c>
      <c r="I437" s="18"/>
      <c r="J437" s="1"/>
      <c r="K437" s="1" t="s">
        <v>21</v>
      </c>
      <c r="L437" s="1"/>
      <c r="M437" s="1"/>
      <c r="N437" s="1"/>
      <c r="O437" s="1"/>
      <c r="P437" s="6" t="s">
        <v>21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21.75" hidden="false" customHeight="true" outlineLevel="0" collapsed="false">
      <c r="A438" s="4" t="n">
        <v>43479</v>
      </c>
      <c r="B438" s="14" t="s">
        <v>1114</v>
      </c>
      <c r="C438" s="14" t="s">
        <v>15</v>
      </c>
      <c r="D438" s="14" t="s">
        <v>43</v>
      </c>
      <c r="E438" s="14" t="s">
        <v>109</v>
      </c>
      <c r="F438" s="14" t="s">
        <v>1312</v>
      </c>
      <c r="G438" s="14" t="n">
        <f aca="false">+593969983786</f>
        <v>593969983786</v>
      </c>
      <c r="H438" s="14" t="s">
        <v>1313</v>
      </c>
      <c r="I438" s="14"/>
      <c r="J438" s="1"/>
      <c r="K438" s="1" t="s">
        <v>21</v>
      </c>
      <c r="L438" s="1"/>
      <c r="M438" s="1"/>
      <c r="N438" s="1"/>
      <c r="O438" s="1"/>
      <c r="P438" s="6" t="s">
        <v>21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21.75" hidden="false" customHeight="true" outlineLevel="0" collapsed="false">
      <c r="A439" s="4" t="n">
        <v>43479</v>
      </c>
      <c r="B439" s="14" t="s">
        <v>1114</v>
      </c>
      <c r="C439" s="14" t="s">
        <v>15</v>
      </c>
      <c r="D439" s="14" t="s">
        <v>43</v>
      </c>
      <c r="E439" s="14" t="s">
        <v>109</v>
      </c>
      <c r="F439" s="14" t="s">
        <v>1314</v>
      </c>
      <c r="G439" s="14" t="n">
        <f aca="false">+5930988904475</f>
        <v>5930988904475</v>
      </c>
      <c r="H439" s="14" t="s">
        <v>1315</v>
      </c>
      <c r="I439" s="14"/>
      <c r="J439" s="1"/>
      <c r="K439" s="1" t="s">
        <v>1316</v>
      </c>
      <c r="L439" s="6" t="s">
        <v>1317</v>
      </c>
      <c r="M439" s="1"/>
      <c r="N439" s="1"/>
      <c r="O439" s="1"/>
      <c r="P439" s="6" t="s">
        <v>31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21.75" hidden="false" customHeight="true" outlineLevel="0" collapsed="false">
      <c r="A440" s="4" t="n">
        <v>43479</v>
      </c>
      <c r="B440" s="18" t="s">
        <v>415</v>
      </c>
      <c r="C440" s="14" t="s">
        <v>15</v>
      </c>
      <c r="D440" s="14" t="s">
        <v>43</v>
      </c>
      <c r="E440" s="14" t="s">
        <v>44</v>
      </c>
      <c r="F440" s="14" t="s">
        <v>1318</v>
      </c>
      <c r="G440" s="14" t="n">
        <f aca="false">+593980954670</f>
        <v>593980954670</v>
      </c>
      <c r="H440" s="14" t="s">
        <v>1319</v>
      </c>
      <c r="I440" s="14" t="s">
        <v>330</v>
      </c>
      <c r="J440" s="14"/>
      <c r="K440" s="1" t="s">
        <v>1320</v>
      </c>
      <c r="L440" s="3" t="s">
        <v>1321</v>
      </c>
      <c r="M440" s="1"/>
      <c r="N440" s="1"/>
      <c r="O440" s="1"/>
      <c r="P440" s="3" t="s">
        <v>31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21.75" hidden="false" customHeight="true" outlineLevel="0" collapsed="false">
      <c r="A441" s="4" t="n">
        <v>43479</v>
      </c>
      <c r="B441" s="14" t="s">
        <v>352</v>
      </c>
      <c r="C441" s="14" t="s">
        <v>15</v>
      </c>
      <c r="D441" s="14" t="s">
        <v>43</v>
      </c>
      <c r="E441" s="14" t="s">
        <v>109</v>
      </c>
      <c r="F441" s="14" t="s">
        <v>1322</v>
      </c>
      <c r="G441" s="14" t="n">
        <f aca="false">+593969388667</f>
        <v>593969388667</v>
      </c>
      <c r="H441" s="14" t="s">
        <v>1323</v>
      </c>
      <c r="I441" s="14"/>
      <c r="J441" s="1"/>
      <c r="K441" s="1" t="s">
        <v>21</v>
      </c>
      <c r="L441" s="1"/>
      <c r="M441" s="1"/>
      <c r="N441" s="1"/>
      <c r="O441" s="1"/>
      <c r="P441" s="6" t="s">
        <v>21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21.75" hidden="false" customHeight="true" outlineLevel="0" collapsed="false">
      <c r="A442" s="4" t="n">
        <v>43479</v>
      </c>
      <c r="B442" s="14" t="s">
        <v>352</v>
      </c>
      <c r="C442" s="14" t="s">
        <v>15</v>
      </c>
      <c r="D442" s="14" t="s">
        <v>43</v>
      </c>
      <c r="E442" s="14" t="s">
        <v>109</v>
      </c>
      <c r="F442" s="14" t="s">
        <v>1324</v>
      </c>
      <c r="G442" s="14" t="n">
        <f aca="false">+5930979648422</f>
        <v>5930979648422</v>
      </c>
      <c r="H442" s="14" t="s">
        <v>1325</v>
      </c>
      <c r="I442" s="14"/>
      <c r="J442" s="1"/>
      <c r="K442" s="1" t="s">
        <v>21</v>
      </c>
      <c r="L442" s="1"/>
      <c r="M442" s="1"/>
      <c r="N442" s="1"/>
      <c r="O442" s="1"/>
      <c r="P442" s="6" t="s">
        <v>21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21.75" hidden="false" customHeight="true" outlineLevel="0" collapsed="false">
      <c r="A443" s="4" t="n">
        <v>43479</v>
      </c>
      <c r="B443" s="14" t="s">
        <v>352</v>
      </c>
      <c r="C443" s="14" t="s">
        <v>15</v>
      </c>
      <c r="D443" s="14" t="s">
        <v>43</v>
      </c>
      <c r="E443" s="14" t="s">
        <v>109</v>
      </c>
      <c r="F443" s="14" t="s">
        <v>1326</v>
      </c>
      <c r="G443" s="14" t="n">
        <f aca="false">+593985979920</f>
        <v>593985979920</v>
      </c>
      <c r="H443" s="14" t="s">
        <v>1327</v>
      </c>
      <c r="I443" s="14"/>
      <c r="J443" s="1"/>
      <c r="K443" s="1" t="s">
        <v>21</v>
      </c>
      <c r="L443" s="1"/>
      <c r="M443" s="1"/>
      <c r="N443" s="1"/>
      <c r="O443" s="1"/>
      <c r="P443" s="6" t="s">
        <v>21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21.75" hidden="false" customHeight="true" outlineLevel="0" collapsed="false">
      <c r="A444" s="4" t="n">
        <v>43479</v>
      </c>
      <c r="B444" s="14" t="s">
        <v>352</v>
      </c>
      <c r="C444" s="14" t="s">
        <v>15</v>
      </c>
      <c r="D444" s="14" t="s">
        <v>43</v>
      </c>
      <c r="E444" s="14" t="s">
        <v>109</v>
      </c>
      <c r="F444" s="14" t="s">
        <v>1328</v>
      </c>
      <c r="G444" s="14" t="n">
        <f aca="false">+5930991732483</f>
        <v>5930991732483</v>
      </c>
      <c r="H444" s="14" t="s">
        <v>1329</v>
      </c>
      <c r="I444" s="14"/>
      <c r="J444" s="1"/>
      <c r="K444" s="1" t="s">
        <v>21</v>
      </c>
      <c r="L444" s="1"/>
      <c r="M444" s="1"/>
      <c r="N444" s="1"/>
      <c r="O444" s="1"/>
      <c r="P444" s="6" t="s">
        <v>21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21.75" hidden="false" customHeight="true" outlineLevel="0" collapsed="false">
      <c r="A445" s="4" t="n">
        <v>43479</v>
      </c>
      <c r="B445" s="14" t="s">
        <v>352</v>
      </c>
      <c r="C445" s="14" t="s">
        <v>26</v>
      </c>
      <c r="D445" s="14" t="s">
        <v>43</v>
      </c>
      <c r="E445" s="14" t="s">
        <v>109</v>
      </c>
      <c r="F445" s="14" t="s">
        <v>1330</v>
      </c>
      <c r="G445" s="14" t="n">
        <f aca="false">+593991786064</f>
        <v>593991786064</v>
      </c>
      <c r="H445" s="14" t="s">
        <v>1331</v>
      </c>
      <c r="I445" s="14"/>
      <c r="J445" s="1"/>
      <c r="K445" s="1" t="s">
        <v>1332</v>
      </c>
      <c r="L445" s="6" t="s">
        <v>1333</v>
      </c>
      <c r="M445" s="1"/>
      <c r="N445" s="1"/>
      <c r="O445" s="1"/>
      <c r="P445" s="6" t="s">
        <v>751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21.75" hidden="false" customHeight="true" outlineLevel="0" collapsed="false">
      <c r="A446" s="4" t="n">
        <v>43479</v>
      </c>
      <c r="B446" s="14" t="s">
        <v>352</v>
      </c>
      <c r="C446" s="14" t="s">
        <v>26</v>
      </c>
      <c r="D446" s="14" t="s">
        <v>43</v>
      </c>
      <c r="E446" s="14" t="s">
        <v>109</v>
      </c>
      <c r="F446" s="14" t="s">
        <v>1334</v>
      </c>
      <c r="G446" s="14" t="n">
        <f aca="false">+593988028867</f>
        <v>593988028867</v>
      </c>
      <c r="H446" s="14" t="s">
        <v>1335</v>
      </c>
      <c r="I446" s="14"/>
      <c r="J446" s="1"/>
      <c r="K446" s="1" t="s">
        <v>21</v>
      </c>
      <c r="L446" s="1"/>
      <c r="M446" s="1"/>
      <c r="N446" s="1"/>
      <c r="O446" s="1"/>
      <c r="P446" s="6" t="s">
        <v>21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21.75" hidden="false" customHeight="true" outlineLevel="0" collapsed="false">
      <c r="A447" s="4" t="n">
        <v>43479</v>
      </c>
      <c r="B447" s="18" t="s">
        <v>178</v>
      </c>
      <c r="C447" s="14" t="s">
        <v>15</v>
      </c>
      <c r="D447" s="14" t="s">
        <v>43</v>
      </c>
      <c r="E447" s="14" t="s">
        <v>44</v>
      </c>
      <c r="F447" s="14" t="s">
        <v>1336</v>
      </c>
      <c r="G447" s="14" t="n">
        <f aca="false">+5930994330062</f>
        <v>5930994330062</v>
      </c>
      <c r="H447" s="14" t="s">
        <v>1337</v>
      </c>
      <c r="I447" s="14" t="s">
        <v>68</v>
      </c>
      <c r="J447" s="14"/>
      <c r="K447" s="1" t="s">
        <v>21</v>
      </c>
      <c r="L447" s="1"/>
      <c r="M447" s="1"/>
      <c r="N447" s="1"/>
      <c r="O447" s="1"/>
      <c r="P447" s="6" t="s">
        <v>21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21.75" hidden="false" customHeight="true" outlineLevel="0" collapsed="false">
      <c r="A448" s="4" t="n">
        <v>43479</v>
      </c>
      <c r="B448" s="18" t="s">
        <v>178</v>
      </c>
      <c r="C448" s="14" t="s">
        <v>15</v>
      </c>
      <c r="D448" s="14" t="s">
        <v>43</v>
      </c>
      <c r="E448" s="14" t="s">
        <v>44</v>
      </c>
      <c r="F448" s="14" t="s">
        <v>1338</v>
      </c>
      <c r="G448" s="14" t="n">
        <f aca="false">+593996387718</f>
        <v>593996387718</v>
      </c>
      <c r="H448" s="14" t="s">
        <v>1339</v>
      </c>
      <c r="I448" s="14"/>
      <c r="J448" s="1"/>
      <c r="K448" s="1" t="s">
        <v>21</v>
      </c>
      <c r="L448" s="1"/>
      <c r="M448" s="1"/>
      <c r="N448" s="1"/>
      <c r="O448" s="1"/>
      <c r="P448" s="6" t="s">
        <v>21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21.75" hidden="false" customHeight="true" outlineLevel="0" collapsed="false">
      <c r="A449" s="4" t="n">
        <v>43479</v>
      </c>
      <c r="B449" s="18" t="s">
        <v>178</v>
      </c>
      <c r="C449" s="14" t="s">
        <v>15</v>
      </c>
      <c r="D449" s="14" t="s">
        <v>43</v>
      </c>
      <c r="E449" s="14" t="s">
        <v>44</v>
      </c>
      <c r="F449" s="14" t="s">
        <v>1340</v>
      </c>
      <c r="G449" s="14" t="n">
        <f aca="false">+593989761561</f>
        <v>593989761561</v>
      </c>
      <c r="H449" s="14" t="s">
        <v>1341</v>
      </c>
      <c r="I449" s="14"/>
      <c r="J449" s="1"/>
      <c r="K449" s="1" t="s">
        <v>1342</v>
      </c>
      <c r="L449" s="6" t="s">
        <v>1343</v>
      </c>
      <c r="M449" s="1"/>
      <c r="N449" s="1"/>
      <c r="O449" s="1"/>
      <c r="P449" s="6" t="s">
        <v>751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21.75" hidden="false" customHeight="true" outlineLevel="0" collapsed="false">
      <c r="A450" s="4" t="n">
        <v>43479</v>
      </c>
      <c r="B450" s="18" t="s">
        <v>178</v>
      </c>
      <c r="C450" s="14" t="s">
        <v>15</v>
      </c>
      <c r="D450" s="14" t="s">
        <v>43</v>
      </c>
      <c r="E450" s="14" t="s">
        <v>44</v>
      </c>
      <c r="F450" s="14" t="s">
        <v>1344</v>
      </c>
      <c r="G450" s="14" t="n">
        <f aca="false">+5930994923818</f>
        <v>5930994923818</v>
      </c>
      <c r="H450" s="14" t="s">
        <v>1345</v>
      </c>
      <c r="I450" s="14"/>
      <c r="J450" s="1"/>
      <c r="K450" s="1" t="s">
        <v>21</v>
      </c>
      <c r="L450" s="1"/>
      <c r="M450" s="1"/>
      <c r="N450" s="1"/>
      <c r="O450" s="1"/>
      <c r="P450" s="6" t="s">
        <v>21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21.75" hidden="false" customHeight="true" outlineLevel="0" collapsed="false">
      <c r="A451" s="4" t="n">
        <v>43479</v>
      </c>
      <c r="B451" s="14" t="s">
        <v>178</v>
      </c>
      <c r="C451" s="14" t="s">
        <v>15</v>
      </c>
      <c r="D451" s="14" t="s">
        <v>43</v>
      </c>
      <c r="E451" s="14" t="s">
        <v>109</v>
      </c>
      <c r="F451" s="14" t="s">
        <v>1346</v>
      </c>
      <c r="G451" s="14" t="n">
        <f aca="false">+593987380657</f>
        <v>593987380657</v>
      </c>
      <c r="H451" s="14" t="s">
        <v>1347</v>
      </c>
      <c r="I451" s="14"/>
      <c r="J451" s="18"/>
      <c r="K451" s="1" t="s">
        <v>1348</v>
      </c>
      <c r="L451" s="1"/>
      <c r="M451" s="1"/>
      <c r="N451" s="1"/>
      <c r="O451" s="1"/>
      <c r="P451" s="6" t="s">
        <v>31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21.75" hidden="false" customHeight="true" outlineLevel="0" collapsed="false">
      <c r="A452" s="4" t="n">
        <v>43479</v>
      </c>
      <c r="B452" s="18" t="s">
        <v>81</v>
      </c>
      <c r="C452" s="14" t="s">
        <v>15</v>
      </c>
      <c r="D452" s="14" t="s">
        <v>43</v>
      </c>
      <c r="E452" s="14" t="s">
        <v>109</v>
      </c>
      <c r="F452" s="19" t="s">
        <v>1349</v>
      </c>
      <c r="G452" s="18" t="n">
        <v>980326309</v>
      </c>
      <c r="H452" s="18" t="s">
        <v>1350</v>
      </c>
      <c r="I452" s="18"/>
      <c r="J452" s="1"/>
      <c r="K452" s="1" t="s">
        <v>21</v>
      </c>
      <c r="L452" s="1"/>
      <c r="M452" s="1"/>
      <c r="N452" s="1"/>
      <c r="O452" s="1"/>
      <c r="P452" s="6" t="s">
        <v>21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21.75" hidden="false" customHeight="true" outlineLevel="0" collapsed="false">
      <c r="A453" s="4" t="n">
        <v>43479</v>
      </c>
      <c r="B453" s="18" t="s">
        <v>81</v>
      </c>
      <c r="C453" s="14" t="s">
        <v>15</v>
      </c>
      <c r="D453" s="14" t="s">
        <v>43</v>
      </c>
      <c r="E453" s="14" t="s">
        <v>109</v>
      </c>
      <c r="F453" s="19" t="s">
        <v>1351</v>
      </c>
      <c r="G453" s="18" t="n">
        <v>982149821</v>
      </c>
      <c r="H453" s="18" t="s">
        <v>1352</v>
      </c>
      <c r="I453" s="18"/>
      <c r="J453" s="1"/>
      <c r="K453" s="1" t="s">
        <v>21</v>
      </c>
      <c r="L453" s="1"/>
      <c r="M453" s="1"/>
      <c r="N453" s="1"/>
      <c r="O453" s="1"/>
      <c r="P453" s="6" t="s">
        <v>21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21.75" hidden="false" customHeight="true" outlineLevel="0" collapsed="false">
      <c r="A454" s="4" t="n">
        <v>43479</v>
      </c>
      <c r="B454" s="18" t="s">
        <v>911</v>
      </c>
      <c r="C454" s="14" t="s">
        <v>15</v>
      </c>
      <c r="D454" s="14" t="s">
        <v>16</v>
      </c>
      <c r="E454" s="14" t="s">
        <v>17</v>
      </c>
      <c r="F454" s="14" t="s">
        <v>1353</v>
      </c>
      <c r="G454" s="14" t="n">
        <f aca="false">+593981009129</f>
        <v>593981009129</v>
      </c>
      <c r="H454" s="14" t="s">
        <v>1354</v>
      </c>
      <c r="I454" s="14"/>
      <c r="J454" s="18"/>
      <c r="K454" s="1" t="s">
        <v>1355</v>
      </c>
      <c r="L454" s="6" t="s">
        <v>1356</v>
      </c>
      <c r="M454" s="1"/>
      <c r="N454" s="1"/>
      <c r="O454" s="1"/>
      <c r="P454" s="6" t="s">
        <v>58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21.75" hidden="false" customHeight="true" outlineLevel="0" collapsed="false">
      <c r="A455" s="4" t="n">
        <v>43479</v>
      </c>
      <c r="B455" s="18" t="s">
        <v>86</v>
      </c>
      <c r="C455" s="14" t="s">
        <v>15</v>
      </c>
      <c r="D455" s="14" t="s">
        <v>16</v>
      </c>
      <c r="E455" s="14" t="s">
        <v>17</v>
      </c>
      <c r="F455" s="14" t="s">
        <v>1357</v>
      </c>
      <c r="G455" s="14" t="n">
        <f aca="false">+593939598221</f>
        <v>593939598221</v>
      </c>
      <c r="H455" s="14" t="s">
        <v>1358</v>
      </c>
      <c r="I455" s="14"/>
      <c r="J455" s="1"/>
      <c r="K455" s="1" t="s">
        <v>1359</v>
      </c>
      <c r="L455" s="6" t="s">
        <v>1360</v>
      </c>
      <c r="M455" s="1"/>
      <c r="N455" s="1"/>
      <c r="O455" s="1"/>
      <c r="P455" s="6" t="s">
        <v>133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21.75" hidden="false" customHeight="true" outlineLevel="0" collapsed="false">
      <c r="A456" s="4" t="n">
        <v>43479</v>
      </c>
      <c r="B456" s="18" t="s">
        <v>86</v>
      </c>
      <c r="C456" s="14" t="s">
        <v>15</v>
      </c>
      <c r="D456" s="14" t="s">
        <v>16</v>
      </c>
      <c r="E456" s="14" t="s">
        <v>17</v>
      </c>
      <c r="F456" s="14" t="s">
        <v>1361</v>
      </c>
      <c r="G456" s="14" t="n">
        <f aca="false">+593984769779</f>
        <v>593984769779</v>
      </c>
      <c r="H456" s="14" t="s">
        <v>1362</v>
      </c>
      <c r="I456" s="14"/>
      <c r="J456" s="1"/>
      <c r="K456" s="1" t="s">
        <v>21</v>
      </c>
      <c r="L456" s="1"/>
      <c r="M456" s="1"/>
      <c r="N456" s="1"/>
      <c r="O456" s="1"/>
      <c r="P456" s="6" t="s">
        <v>21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21.75" hidden="false" customHeight="true" outlineLevel="0" collapsed="false">
      <c r="A457" s="4" t="n">
        <v>43479</v>
      </c>
      <c r="B457" s="18" t="s">
        <v>86</v>
      </c>
      <c r="C457" s="14" t="s">
        <v>15</v>
      </c>
      <c r="D457" s="14" t="s">
        <v>16</v>
      </c>
      <c r="E457" s="14" t="s">
        <v>17</v>
      </c>
      <c r="F457" s="14" t="s">
        <v>1363</v>
      </c>
      <c r="G457" s="14" t="n">
        <f aca="false">+593985083023</f>
        <v>593985083023</v>
      </c>
      <c r="H457" s="14" t="s">
        <v>1364</v>
      </c>
      <c r="I457" s="14"/>
      <c r="J457" s="1"/>
      <c r="K457" s="1" t="s">
        <v>1365</v>
      </c>
      <c r="L457" s="6" t="s">
        <v>1366</v>
      </c>
      <c r="M457" s="1"/>
      <c r="N457" s="1"/>
      <c r="O457" s="1"/>
      <c r="P457" s="6" t="s">
        <v>133</v>
      </c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21.75" hidden="false" customHeight="true" outlineLevel="0" collapsed="false">
      <c r="A458" s="4" t="n">
        <v>43479</v>
      </c>
      <c r="B458" s="18" t="s">
        <v>86</v>
      </c>
      <c r="C458" s="14" t="s">
        <v>15</v>
      </c>
      <c r="D458" s="14" t="s">
        <v>16</v>
      </c>
      <c r="E458" s="14" t="s">
        <v>17</v>
      </c>
      <c r="F458" s="14" t="s">
        <v>1367</v>
      </c>
      <c r="G458" s="14" t="n">
        <f aca="false">+5930988653931</f>
        <v>5930988653931</v>
      </c>
      <c r="H458" s="14" t="s">
        <v>1368</v>
      </c>
      <c r="I458" s="14"/>
      <c r="J458" s="1"/>
      <c r="K458" s="1" t="s">
        <v>1369</v>
      </c>
      <c r="L458" s="1"/>
      <c r="M458" s="1"/>
      <c r="N458" s="1"/>
      <c r="O458" s="1"/>
      <c r="P458" s="6" t="s">
        <v>133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21.75" hidden="false" customHeight="true" outlineLevel="0" collapsed="false">
      <c r="A459" s="4" t="n">
        <v>43479</v>
      </c>
      <c r="B459" s="18" t="s">
        <v>86</v>
      </c>
      <c r="C459" s="14" t="s">
        <v>15</v>
      </c>
      <c r="D459" s="14" t="s">
        <v>16</v>
      </c>
      <c r="E459" s="14" t="s">
        <v>17</v>
      </c>
      <c r="F459" s="14" t="s">
        <v>1370</v>
      </c>
      <c r="G459" s="14" t="n">
        <f aca="false">+593987529946</f>
        <v>593987529946</v>
      </c>
      <c r="H459" s="14" t="s">
        <v>1371</v>
      </c>
      <c r="I459" s="14"/>
      <c r="J459" s="1"/>
      <c r="K459" s="1" t="s">
        <v>21</v>
      </c>
      <c r="L459" s="1"/>
      <c r="M459" s="1"/>
      <c r="N459" s="1"/>
      <c r="O459" s="1"/>
      <c r="P459" s="6" t="s">
        <v>21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21.75" hidden="false" customHeight="true" outlineLevel="0" collapsed="false">
      <c r="A460" s="4" t="n">
        <v>43479</v>
      </c>
      <c r="B460" s="18" t="s">
        <v>86</v>
      </c>
      <c r="C460" s="14" t="s">
        <v>15</v>
      </c>
      <c r="D460" s="14" t="s">
        <v>16</v>
      </c>
      <c r="E460" s="14" t="s">
        <v>17</v>
      </c>
      <c r="F460" s="14" t="s">
        <v>1372</v>
      </c>
      <c r="G460" s="14" t="n">
        <f aca="false">+593997215981</f>
        <v>593997215981</v>
      </c>
      <c r="H460" s="14" t="s">
        <v>1373</v>
      </c>
      <c r="I460" s="14"/>
      <c r="J460" s="1"/>
      <c r="K460" s="1" t="s">
        <v>21</v>
      </c>
      <c r="L460" s="1"/>
      <c r="M460" s="1"/>
      <c r="N460" s="1"/>
      <c r="O460" s="1"/>
      <c r="P460" s="6" t="s">
        <v>21</v>
      </c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21.75" hidden="false" customHeight="true" outlineLevel="0" collapsed="false">
      <c r="A461" s="4" t="n">
        <v>43479</v>
      </c>
      <c r="B461" s="18" t="s">
        <v>86</v>
      </c>
      <c r="C461" s="14" t="s">
        <v>15</v>
      </c>
      <c r="D461" s="14" t="s">
        <v>16</v>
      </c>
      <c r="E461" s="14" t="s">
        <v>17</v>
      </c>
      <c r="F461" s="14" t="s">
        <v>1374</v>
      </c>
      <c r="G461" s="14" t="n">
        <f aca="false">+5930980538767</f>
        <v>5930980538767</v>
      </c>
      <c r="H461" s="14" t="s">
        <v>1375</v>
      </c>
      <c r="I461" s="14"/>
      <c r="J461" s="1"/>
      <c r="K461" s="1" t="s">
        <v>1376</v>
      </c>
      <c r="L461" s="1"/>
      <c r="M461" s="1"/>
      <c r="N461" s="1"/>
      <c r="O461" s="1"/>
      <c r="P461" s="6" t="s">
        <v>133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21.75" hidden="false" customHeight="true" outlineLevel="0" collapsed="false">
      <c r="A462" s="4" t="n">
        <v>43480</v>
      </c>
      <c r="B462" s="18" t="s">
        <v>14</v>
      </c>
      <c r="C462" s="14" t="s">
        <v>15</v>
      </c>
      <c r="D462" s="14" t="s">
        <v>16</v>
      </c>
      <c r="E462" s="14" t="s">
        <v>17</v>
      </c>
      <c r="F462" s="14" t="s">
        <v>1377</v>
      </c>
      <c r="G462" s="14" t="n">
        <f aca="false">+593982772372</f>
        <v>593982772372</v>
      </c>
      <c r="H462" s="28" t="s">
        <v>1378</v>
      </c>
      <c r="I462" s="28"/>
      <c r="J462" s="14"/>
      <c r="K462" s="1" t="s">
        <v>21</v>
      </c>
      <c r="L462" s="1"/>
      <c r="M462" s="1"/>
      <c r="N462" s="1"/>
      <c r="O462" s="1"/>
      <c r="P462" s="6" t="s">
        <v>21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21.75" hidden="false" customHeight="true" outlineLevel="0" collapsed="false">
      <c r="A463" s="4" t="n">
        <v>43480</v>
      </c>
      <c r="B463" s="18" t="s">
        <v>14</v>
      </c>
      <c r="C463" s="14" t="s">
        <v>26</v>
      </c>
      <c r="D463" s="14" t="s">
        <v>16</v>
      </c>
      <c r="E463" s="14" t="s">
        <v>17</v>
      </c>
      <c r="F463" s="14" t="s">
        <v>1379</v>
      </c>
      <c r="G463" s="14" t="n">
        <f aca="false">+593939960021</f>
        <v>593939960021</v>
      </c>
      <c r="H463" s="28" t="s">
        <v>1380</v>
      </c>
      <c r="I463" s="28"/>
      <c r="J463" s="14"/>
      <c r="K463" s="1" t="s">
        <v>1381</v>
      </c>
      <c r="L463" s="1"/>
      <c r="M463" s="1"/>
      <c r="N463" s="1"/>
      <c r="O463" s="1"/>
      <c r="P463" s="6" t="s">
        <v>133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21.75" hidden="false" customHeight="true" outlineLevel="0" collapsed="false">
      <c r="A464" s="4" t="n">
        <v>43480</v>
      </c>
      <c r="B464" s="18" t="s">
        <v>14</v>
      </c>
      <c r="C464" s="14" t="s">
        <v>15</v>
      </c>
      <c r="D464" s="14" t="s">
        <v>16</v>
      </c>
      <c r="E464" s="14" t="s">
        <v>17</v>
      </c>
      <c r="F464" s="14" t="s">
        <v>1382</v>
      </c>
      <c r="G464" s="14" t="n">
        <f aca="false">+593990746820</f>
        <v>593990746820</v>
      </c>
      <c r="H464" s="28" t="s">
        <v>1383</v>
      </c>
      <c r="I464" s="28"/>
      <c r="J464" s="14"/>
      <c r="K464" s="1" t="s">
        <v>21</v>
      </c>
      <c r="L464" s="1"/>
      <c r="M464" s="1"/>
      <c r="N464" s="1"/>
      <c r="O464" s="1"/>
      <c r="P464" s="6" t="s">
        <v>21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21.75" hidden="false" customHeight="true" outlineLevel="0" collapsed="false">
      <c r="A465" s="4" t="n">
        <v>43480</v>
      </c>
      <c r="B465" s="18" t="s">
        <v>14</v>
      </c>
      <c r="C465" s="14" t="s">
        <v>15</v>
      </c>
      <c r="D465" s="14" t="s">
        <v>16</v>
      </c>
      <c r="E465" s="14" t="s">
        <v>17</v>
      </c>
      <c r="F465" s="14" t="s">
        <v>1384</v>
      </c>
      <c r="G465" s="14" t="n">
        <f aca="false">+593989883757</f>
        <v>593989883757</v>
      </c>
      <c r="H465" s="28" t="s">
        <v>1385</v>
      </c>
      <c r="I465" s="28"/>
      <c r="J465" s="14"/>
      <c r="K465" s="1" t="s">
        <v>21</v>
      </c>
      <c r="L465" s="1"/>
      <c r="M465" s="1"/>
      <c r="N465" s="1"/>
      <c r="O465" s="1"/>
      <c r="P465" s="6" t="s">
        <v>21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21.75" hidden="false" customHeight="true" outlineLevel="0" collapsed="false">
      <c r="A466" s="4" t="n">
        <v>43480</v>
      </c>
      <c r="B466" s="18" t="s">
        <v>14</v>
      </c>
      <c r="C466" s="14" t="s">
        <v>15</v>
      </c>
      <c r="D466" s="14" t="s">
        <v>16</v>
      </c>
      <c r="E466" s="14" t="s">
        <v>17</v>
      </c>
      <c r="F466" s="14" t="s">
        <v>1386</v>
      </c>
      <c r="G466" s="14" t="n">
        <f aca="false">+593982760231</f>
        <v>593982760231</v>
      </c>
      <c r="H466" s="28" t="s">
        <v>1387</v>
      </c>
      <c r="I466" s="28"/>
      <c r="J466" s="14"/>
      <c r="K466" s="1" t="s">
        <v>21</v>
      </c>
      <c r="L466" s="1"/>
      <c r="M466" s="1"/>
      <c r="N466" s="1"/>
      <c r="O466" s="1"/>
      <c r="P466" s="6" t="s">
        <v>21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21.75" hidden="false" customHeight="true" outlineLevel="0" collapsed="false">
      <c r="A467" s="4" t="n">
        <v>43480</v>
      </c>
      <c r="B467" s="18" t="s">
        <v>14</v>
      </c>
      <c r="C467" s="14" t="s">
        <v>15</v>
      </c>
      <c r="D467" s="14" t="s">
        <v>16</v>
      </c>
      <c r="E467" s="14" t="s">
        <v>17</v>
      </c>
      <c r="F467" s="14" t="s">
        <v>1388</v>
      </c>
      <c r="G467" s="14" t="n">
        <f aca="false">+593968644681</f>
        <v>593968644681</v>
      </c>
      <c r="H467" s="28" t="s">
        <v>1389</v>
      </c>
      <c r="I467" s="28"/>
      <c r="J467" s="14"/>
      <c r="K467" s="1" t="s">
        <v>1390</v>
      </c>
      <c r="L467" s="1"/>
      <c r="M467" s="1"/>
      <c r="N467" s="1"/>
      <c r="O467" s="1"/>
      <c r="P467" s="6" t="s">
        <v>133</v>
      </c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21.75" hidden="false" customHeight="true" outlineLevel="0" collapsed="false">
      <c r="A468" s="4" t="n">
        <v>43480</v>
      </c>
      <c r="B468" s="18" t="s">
        <v>14</v>
      </c>
      <c r="C468" s="14" t="s">
        <v>26</v>
      </c>
      <c r="D468" s="14" t="s">
        <v>16</v>
      </c>
      <c r="E468" s="14" t="s">
        <v>17</v>
      </c>
      <c r="F468" s="14" t="s">
        <v>1147</v>
      </c>
      <c r="G468" s="14" t="n">
        <f aca="false">+593980387978</f>
        <v>593980387978</v>
      </c>
      <c r="H468" s="28" t="s">
        <v>1148</v>
      </c>
      <c r="I468" s="28"/>
      <c r="J468" s="14"/>
      <c r="K468" s="1" t="s">
        <v>1391</v>
      </c>
      <c r="L468" s="1"/>
      <c r="M468" s="1"/>
      <c r="N468" s="1"/>
      <c r="O468" s="1"/>
      <c r="P468" s="6" t="s">
        <v>133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21.75" hidden="false" customHeight="true" outlineLevel="0" collapsed="false">
      <c r="A469" s="4" t="n">
        <v>43480</v>
      </c>
      <c r="B469" s="18" t="s">
        <v>14</v>
      </c>
      <c r="C469" s="14" t="s">
        <v>26</v>
      </c>
      <c r="D469" s="14" t="s">
        <v>16</v>
      </c>
      <c r="E469" s="14" t="s">
        <v>17</v>
      </c>
      <c r="F469" s="14" t="s">
        <v>1392</v>
      </c>
      <c r="G469" s="14" t="n">
        <f aca="false">+5930968086552</f>
        <v>5930968086552</v>
      </c>
      <c r="H469" s="28" t="s">
        <v>1393</v>
      </c>
      <c r="I469" s="28"/>
      <c r="J469" s="14"/>
      <c r="K469" s="1" t="s">
        <v>727</v>
      </c>
      <c r="L469" s="1"/>
      <c r="M469" s="1"/>
      <c r="N469" s="1"/>
      <c r="O469" s="1"/>
      <c r="P469" s="6" t="s">
        <v>133</v>
      </c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21.75" hidden="false" customHeight="true" outlineLevel="0" collapsed="false">
      <c r="A470" s="4" t="n">
        <v>43480</v>
      </c>
      <c r="B470" s="18" t="s">
        <v>14</v>
      </c>
      <c r="C470" s="14" t="s">
        <v>15</v>
      </c>
      <c r="D470" s="14" t="s">
        <v>16</v>
      </c>
      <c r="E470" s="14" t="s">
        <v>17</v>
      </c>
      <c r="F470" s="14" t="s">
        <v>1394</v>
      </c>
      <c r="G470" s="14" t="n">
        <f aca="false">+5930991568494</f>
        <v>5930991568494</v>
      </c>
      <c r="H470" s="28" t="s">
        <v>1395</v>
      </c>
      <c r="I470" s="28"/>
      <c r="J470" s="14"/>
      <c r="K470" s="1" t="s">
        <v>1065</v>
      </c>
      <c r="L470" s="1"/>
      <c r="M470" s="1"/>
      <c r="N470" s="1"/>
      <c r="O470" s="1"/>
      <c r="P470" s="6" t="s">
        <v>133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21.75" hidden="false" customHeight="true" outlineLevel="0" collapsed="false">
      <c r="A471" s="4" t="n">
        <v>43480</v>
      </c>
      <c r="B471" s="18" t="s">
        <v>14</v>
      </c>
      <c r="C471" s="14" t="s">
        <v>15</v>
      </c>
      <c r="D471" s="14" t="s">
        <v>16</v>
      </c>
      <c r="E471" s="14" t="s">
        <v>17</v>
      </c>
      <c r="F471" s="19" t="s">
        <v>1396</v>
      </c>
      <c r="G471" s="18" t="n">
        <v>960753436</v>
      </c>
      <c r="H471" s="18" t="s">
        <v>1397</v>
      </c>
      <c r="I471" s="18"/>
      <c r="J471" s="1"/>
      <c r="K471" s="1" t="s">
        <v>21</v>
      </c>
      <c r="L471" s="1"/>
      <c r="M471" s="1"/>
      <c r="N471" s="1"/>
      <c r="O471" s="1"/>
      <c r="P471" s="6" t="s">
        <v>21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21.75" hidden="false" customHeight="true" outlineLevel="0" collapsed="false">
      <c r="A472" s="4" t="n">
        <v>43480</v>
      </c>
      <c r="B472" s="18" t="s">
        <v>14</v>
      </c>
      <c r="C472" s="14" t="s">
        <v>15</v>
      </c>
      <c r="D472" s="14" t="s">
        <v>16</v>
      </c>
      <c r="E472" s="14" t="s">
        <v>17</v>
      </c>
      <c r="F472" s="19" t="s">
        <v>1398</v>
      </c>
      <c r="G472" s="18" t="n">
        <v>997532453</v>
      </c>
      <c r="H472" s="18" t="s">
        <v>1399</v>
      </c>
      <c r="I472" s="18"/>
      <c r="J472" s="1"/>
      <c r="K472" s="1" t="s">
        <v>1400</v>
      </c>
      <c r="L472" s="6" t="s">
        <v>1401</v>
      </c>
      <c r="M472" s="1"/>
      <c r="N472" s="1"/>
      <c r="O472" s="1"/>
      <c r="P472" s="6" t="s">
        <v>126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21.75" hidden="false" customHeight="true" outlineLevel="0" collapsed="false">
      <c r="A473" s="4" t="n">
        <v>43480</v>
      </c>
      <c r="B473" s="18" t="s">
        <v>14</v>
      </c>
      <c r="C473" s="14" t="s">
        <v>15</v>
      </c>
      <c r="D473" s="14" t="s">
        <v>16</v>
      </c>
      <c r="E473" s="14" t="s">
        <v>17</v>
      </c>
      <c r="F473" s="14" t="s">
        <v>1402</v>
      </c>
      <c r="G473" s="14" t="n">
        <f aca="false">+390990824605</f>
        <v>390990824605</v>
      </c>
      <c r="H473" s="14" t="s">
        <v>1403</v>
      </c>
      <c r="I473" s="14"/>
      <c r="J473" s="1"/>
      <c r="K473" s="1" t="s">
        <v>21</v>
      </c>
      <c r="L473" s="1"/>
      <c r="M473" s="1"/>
      <c r="N473" s="1"/>
      <c r="O473" s="1"/>
      <c r="P473" s="6" t="s">
        <v>21</v>
      </c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21.75" hidden="false" customHeight="true" outlineLevel="0" collapsed="false">
      <c r="A474" s="4" t="n">
        <v>43480</v>
      </c>
      <c r="B474" s="8" t="s">
        <v>42</v>
      </c>
      <c r="C474" s="14" t="s">
        <v>15</v>
      </c>
      <c r="D474" s="14" t="s">
        <v>43</v>
      </c>
      <c r="E474" s="14" t="s">
        <v>44</v>
      </c>
      <c r="F474" s="14" t="s">
        <v>1404</v>
      </c>
      <c r="G474" s="14" t="n">
        <f aca="false">+5930987002742</f>
        <v>5930987002742</v>
      </c>
      <c r="H474" s="28" t="s">
        <v>1405</v>
      </c>
      <c r="I474" s="28"/>
      <c r="J474" s="14"/>
      <c r="K474" s="1" t="s">
        <v>21</v>
      </c>
      <c r="L474" s="1"/>
      <c r="M474" s="1"/>
      <c r="N474" s="1"/>
      <c r="O474" s="1"/>
      <c r="P474" s="6" t="s">
        <v>21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21.75" hidden="false" customHeight="true" outlineLevel="0" collapsed="false">
      <c r="A475" s="4" t="n">
        <v>43480</v>
      </c>
      <c r="B475" s="8" t="s">
        <v>42</v>
      </c>
      <c r="C475" s="14" t="s">
        <v>15</v>
      </c>
      <c r="D475" s="14" t="s">
        <v>43</v>
      </c>
      <c r="E475" s="14" t="s">
        <v>44</v>
      </c>
      <c r="F475" s="14" t="s">
        <v>1406</v>
      </c>
      <c r="G475" s="14" t="n">
        <f aca="false">+593992576357</f>
        <v>593992576357</v>
      </c>
      <c r="H475" s="28" t="s">
        <v>1407</v>
      </c>
      <c r="I475" s="28"/>
      <c r="J475" s="14"/>
      <c r="K475" s="1" t="s">
        <v>21</v>
      </c>
      <c r="L475" s="1"/>
      <c r="M475" s="1"/>
      <c r="N475" s="1"/>
      <c r="O475" s="1"/>
      <c r="P475" s="6" t="s">
        <v>21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21.75" hidden="false" customHeight="true" outlineLevel="0" collapsed="false">
      <c r="A476" s="4" t="n">
        <v>43480</v>
      </c>
      <c r="B476" s="8" t="s">
        <v>42</v>
      </c>
      <c r="C476" s="14" t="s">
        <v>15</v>
      </c>
      <c r="D476" s="14" t="s">
        <v>43</v>
      </c>
      <c r="E476" s="14" t="s">
        <v>44</v>
      </c>
      <c r="F476" s="14" t="s">
        <v>1408</v>
      </c>
      <c r="G476" s="14" t="n">
        <f aca="false">+593990238650</f>
        <v>593990238650</v>
      </c>
      <c r="H476" s="28" t="s">
        <v>1409</v>
      </c>
      <c r="I476" s="28"/>
      <c r="J476" s="14"/>
      <c r="K476" s="1" t="s">
        <v>21</v>
      </c>
      <c r="L476" s="1"/>
      <c r="M476" s="1"/>
      <c r="N476" s="1"/>
      <c r="O476" s="1"/>
      <c r="P476" s="6" t="s">
        <v>21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21.75" hidden="false" customHeight="true" outlineLevel="0" collapsed="false">
      <c r="A477" s="4" t="n">
        <v>43480</v>
      </c>
      <c r="B477" s="8" t="s">
        <v>42</v>
      </c>
      <c r="C477" s="14" t="s">
        <v>15</v>
      </c>
      <c r="D477" s="14" t="s">
        <v>43</v>
      </c>
      <c r="E477" s="14" t="s">
        <v>109</v>
      </c>
      <c r="F477" s="14" t="s">
        <v>1410</v>
      </c>
      <c r="G477" s="14" t="n">
        <f aca="false">+593999472795</f>
        <v>593999472795</v>
      </c>
      <c r="H477" s="28" t="s">
        <v>1411</v>
      </c>
      <c r="I477" s="28"/>
      <c r="J477" s="14"/>
      <c r="K477" s="1" t="s">
        <v>21</v>
      </c>
      <c r="L477" s="1"/>
      <c r="M477" s="1"/>
      <c r="N477" s="1"/>
      <c r="O477" s="1"/>
      <c r="P477" s="6" t="s">
        <v>21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21.75" hidden="false" customHeight="true" outlineLevel="0" collapsed="false">
      <c r="A478" s="4" t="n">
        <v>43480</v>
      </c>
      <c r="B478" s="8" t="s">
        <v>42</v>
      </c>
      <c r="C478" s="14" t="s">
        <v>15</v>
      </c>
      <c r="D478" s="14" t="s">
        <v>43</v>
      </c>
      <c r="E478" s="14" t="s">
        <v>109</v>
      </c>
      <c r="F478" s="14" t="s">
        <v>1412</v>
      </c>
      <c r="G478" s="14" t="n">
        <f aca="false">+593991505108</f>
        <v>593991505108</v>
      </c>
      <c r="H478" s="28" t="s">
        <v>1413</v>
      </c>
      <c r="I478" s="28"/>
      <c r="J478" s="14"/>
      <c r="K478" s="1" t="s">
        <v>21</v>
      </c>
      <c r="L478" s="1"/>
      <c r="M478" s="1"/>
      <c r="N478" s="1"/>
      <c r="O478" s="1"/>
      <c r="P478" s="6" t="s">
        <v>21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21.75" hidden="false" customHeight="true" outlineLevel="0" collapsed="false">
      <c r="A479" s="4" t="n">
        <v>43480</v>
      </c>
      <c r="B479" s="8" t="s">
        <v>42</v>
      </c>
      <c r="C479" s="14" t="s">
        <v>15</v>
      </c>
      <c r="D479" s="14" t="s">
        <v>43</v>
      </c>
      <c r="E479" s="14" t="s">
        <v>109</v>
      </c>
      <c r="F479" s="14" t="s">
        <v>1414</v>
      </c>
      <c r="G479" s="14" t="n">
        <f aca="false">+593990063534</f>
        <v>593990063534</v>
      </c>
      <c r="H479" s="14" t="s">
        <v>1415</v>
      </c>
      <c r="I479" s="14"/>
      <c r="J479" s="1"/>
      <c r="K479" s="1" t="s">
        <v>21</v>
      </c>
      <c r="L479" s="1"/>
      <c r="M479" s="1"/>
      <c r="N479" s="1"/>
      <c r="O479" s="1"/>
      <c r="P479" s="6" t="s">
        <v>21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21.75" hidden="false" customHeight="true" outlineLevel="0" collapsed="false">
      <c r="A480" s="4" t="n">
        <v>43480</v>
      </c>
      <c r="B480" s="8" t="s">
        <v>42</v>
      </c>
      <c r="C480" s="14" t="s">
        <v>15</v>
      </c>
      <c r="D480" s="14" t="s">
        <v>43</v>
      </c>
      <c r="E480" s="14" t="s">
        <v>109</v>
      </c>
      <c r="F480" s="19" t="s">
        <v>1416</v>
      </c>
      <c r="G480" s="18" t="n">
        <v>960573302</v>
      </c>
      <c r="H480" s="26" t="s">
        <v>1417</v>
      </c>
      <c r="I480" s="26"/>
      <c r="J480" s="1"/>
      <c r="K480" s="1" t="s">
        <v>21</v>
      </c>
      <c r="L480" s="1"/>
      <c r="M480" s="1"/>
      <c r="N480" s="1"/>
      <c r="O480" s="1"/>
      <c r="P480" s="6" t="s">
        <v>21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21.75" hidden="false" customHeight="true" outlineLevel="0" collapsed="false">
      <c r="A481" s="4" t="n">
        <v>43480</v>
      </c>
      <c r="B481" s="18" t="s">
        <v>161</v>
      </c>
      <c r="C481" s="14" t="s">
        <v>26</v>
      </c>
      <c r="D481" s="14" t="s">
        <v>16</v>
      </c>
      <c r="E481" s="14" t="s">
        <v>17</v>
      </c>
      <c r="F481" s="14" t="s">
        <v>1418</v>
      </c>
      <c r="G481" s="14" t="n">
        <f aca="false">+593995034365</f>
        <v>593995034365</v>
      </c>
      <c r="H481" s="28" t="s">
        <v>1419</v>
      </c>
      <c r="I481" s="28"/>
      <c r="J481" s="14"/>
      <c r="K481" s="1" t="s">
        <v>21</v>
      </c>
      <c r="L481" s="1"/>
      <c r="M481" s="1"/>
      <c r="N481" s="1"/>
      <c r="O481" s="1"/>
      <c r="P481" s="6" t="s">
        <v>21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21.75" hidden="false" customHeight="true" outlineLevel="0" collapsed="false">
      <c r="A482" s="4" t="n">
        <v>43480</v>
      </c>
      <c r="B482" s="18" t="s">
        <v>161</v>
      </c>
      <c r="C482" s="14" t="s">
        <v>15</v>
      </c>
      <c r="D482" s="14" t="s">
        <v>16</v>
      </c>
      <c r="E482" s="14" t="s">
        <v>17</v>
      </c>
      <c r="F482" s="14" t="s">
        <v>1420</v>
      </c>
      <c r="G482" s="14" t="n">
        <f aca="false">+5930990766411</f>
        <v>5930990766411</v>
      </c>
      <c r="H482" s="28" t="s">
        <v>1421</v>
      </c>
      <c r="I482" s="28"/>
      <c r="J482" s="14"/>
      <c r="K482" s="1" t="s">
        <v>21</v>
      </c>
      <c r="L482" s="1"/>
      <c r="M482" s="1"/>
      <c r="N482" s="1"/>
      <c r="O482" s="1"/>
      <c r="P482" s="6" t="s">
        <v>21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21.75" hidden="false" customHeight="true" outlineLevel="0" collapsed="false">
      <c r="A483" s="4" t="n">
        <v>43480</v>
      </c>
      <c r="B483" s="18" t="s">
        <v>166</v>
      </c>
      <c r="C483" s="14" t="s">
        <v>15</v>
      </c>
      <c r="D483" s="14" t="s">
        <v>16</v>
      </c>
      <c r="E483" s="14" t="s">
        <v>17</v>
      </c>
      <c r="F483" s="14" t="s">
        <v>1422</v>
      </c>
      <c r="G483" s="14" t="n">
        <f aca="false">+593994795396</f>
        <v>593994795396</v>
      </c>
      <c r="H483" s="28" t="s">
        <v>1423</v>
      </c>
      <c r="I483" s="28"/>
      <c r="J483" s="14"/>
      <c r="K483" s="1" t="s">
        <v>1424</v>
      </c>
      <c r="L483" s="1"/>
      <c r="M483" s="1"/>
      <c r="N483" s="1"/>
      <c r="O483" s="1"/>
      <c r="P483" s="6" t="s">
        <v>133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21.75" hidden="false" customHeight="true" outlineLevel="0" collapsed="false">
      <c r="A484" s="4" t="n">
        <v>43480</v>
      </c>
      <c r="B484" s="18" t="s">
        <v>166</v>
      </c>
      <c r="C484" s="14" t="s">
        <v>15</v>
      </c>
      <c r="D484" s="14" t="s">
        <v>16</v>
      </c>
      <c r="E484" s="14" t="s">
        <v>17</v>
      </c>
      <c r="F484" s="14" t="s">
        <v>1425</v>
      </c>
      <c r="G484" s="14" t="n">
        <f aca="false">+593994927815</f>
        <v>593994927815</v>
      </c>
      <c r="H484" s="28" t="s">
        <v>1426</v>
      </c>
      <c r="I484" s="28"/>
      <c r="J484" s="14"/>
      <c r="K484" s="1" t="s">
        <v>860</v>
      </c>
      <c r="L484" s="1"/>
      <c r="M484" s="1"/>
      <c r="N484" s="1"/>
      <c r="O484" s="1"/>
      <c r="P484" s="6" t="s">
        <v>133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21.75" hidden="false" customHeight="true" outlineLevel="0" collapsed="false">
      <c r="A485" s="4" t="n">
        <v>43480</v>
      </c>
      <c r="B485" s="18" t="s">
        <v>166</v>
      </c>
      <c r="C485" s="14" t="s">
        <v>15</v>
      </c>
      <c r="D485" s="14" t="s">
        <v>16</v>
      </c>
      <c r="E485" s="14" t="s">
        <v>17</v>
      </c>
      <c r="F485" s="14" t="s">
        <v>1427</v>
      </c>
      <c r="G485" s="14" t="n">
        <f aca="false">+593999589102</f>
        <v>593999589102</v>
      </c>
      <c r="H485" s="28" t="s">
        <v>1428</v>
      </c>
      <c r="I485" s="28"/>
      <c r="J485" s="14"/>
      <c r="K485" s="1" t="s">
        <v>1429</v>
      </c>
      <c r="L485" s="1"/>
      <c r="M485" s="1"/>
      <c r="N485" s="1"/>
      <c r="O485" s="1"/>
      <c r="P485" s="6" t="s">
        <v>133</v>
      </c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21.75" hidden="false" customHeight="true" outlineLevel="0" collapsed="false">
      <c r="A486" s="4" t="n">
        <v>43480</v>
      </c>
      <c r="B486" s="18" t="s">
        <v>166</v>
      </c>
      <c r="C486" s="14" t="s">
        <v>15</v>
      </c>
      <c r="D486" s="14" t="s">
        <v>16</v>
      </c>
      <c r="E486" s="14" t="s">
        <v>17</v>
      </c>
      <c r="F486" s="14" t="s">
        <v>1430</v>
      </c>
      <c r="G486" s="14" t="n">
        <f aca="false">+593999450479</f>
        <v>593999450479</v>
      </c>
      <c r="H486" s="28" t="s">
        <v>1431</v>
      </c>
      <c r="I486" s="28"/>
      <c r="J486" s="14"/>
      <c r="K486" s="1" t="s">
        <v>1286</v>
      </c>
      <c r="L486" s="1"/>
      <c r="M486" s="1"/>
      <c r="N486" s="1"/>
      <c r="O486" s="1"/>
      <c r="P486" s="6" t="s">
        <v>133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21.75" hidden="false" customHeight="true" outlineLevel="0" collapsed="false">
      <c r="A487" s="4" t="n">
        <v>43480</v>
      </c>
      <c r="B487" s="18" t="s">
        <v>166</v>
      </c>
      <c r="C487" s="14" t="s">
        <v>15</v>
      </c>
      <c r="D487" s="14" t="s">
        <v>16</v>
      </c>
      <c r="E487" s="14" t="s">
        <v>17</v>
      </c>
      <c r="F487" s="14" t="s">
        <v>1432</v>
      </c>
      <c r="G487" s="14" t="n">
        <f aca="false">+593988410147</f>
        <v>593988410147</v>
      </c>
      <c r="H487" s="28" t="s">
        <v>1433</v>
      </c>
      <c r="I487" s="28"/>
      <c r="J487" s="14"/>
      <c r="K487" s="1" t="s">
        <v>1434</v>
      </c>
      <c r="L487" s="1"/>
      <c r="M487" s="1"/>
      <c r="N487" s="1"/>
      <c r="O487" s="1"/>
      <c r="P487" s="6" t="s">
        <v>133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21.75" hidden="false" customHeight="true" outlineLevel="0" collapsed="false">
      <c r="A488" s="4" t="n">
        <v>43480</v>
      </c>
      <c r="B488" s="18" t="s">
        <v>166</v>
      </c>
      <c r="C488" s="14" t="s">
        <v>26</v>
      </c>
      <c r="D488" s="14" t="s">
        <v>16</v>
      </c>
      <c r="E488" s="14" t="s">
        <v>17</v>
      </c>
      <c r="F488" s="14" t="s">
        <v>1435</v>
      </c>
      <c r="G488" s="14" t="n">
        <f aca="false">+593939216560</f>
        <v>593939216560</v>
      </c>
      <c r="H488" s="28" t="s">
        <v>1436</v>
      </c>
      <c r="I488" s="28"/>
      <c r="J488" s="14"/>
      <c r="K488" s="1" t="s">
        <v>1437</v>
      </c>
      <c r="L488" s="1"/>
      <c r="M488" s="1"/>
      <c r="N488" s="1"/>
      <c r="O488" s="1"/>
      <c r="P488" s="6" t="s">
        <v>133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21.75" hidden="false" customHeight="true" outlineLevel="0" collapsed="false">
      <c r="A489" s="4" t="n">
        <v>43480</v>
      </c>
      <c r="B489" s="18" t="s">
        <v>166</v>
      </c>
      <c r="C489" s="14" t="s">
        <v>26</v>
      </c>
      <c r="D489" s="14" t="s">
        <v>16</v>
      </c>
      <c r="E489" s="14" t="s">
        <v>17</v>
      </c>
      <c r="F489" s="14" t="s">
        <v>1438</v>
      </c>
      <c r="G489" s="14" t="n">
        <f aca="false">+593980976227</f>
        <v>593980976227</v>
      </c>
      <c r="H489" s="28" t="s">
        <v>1439</v>
      </c>
      <c r="I489" s="28"/>
      <c r="J489" s="14"/>
      <c r="K489" s="1" t="s">
        <v>1440</v>
      </c>
      <c r="L489" s="1"/>
      <c r="M489" s="1"/>
      <c r="N489" s="1"/>
      <c r="O489" s="1"/>
      <c r="P489" s="6" t="s">
        <v>133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21.75" hidden="false" customHeight="true" outlineLevel="0" collapsed="false">
      <c r="A490" s="4" t="n">
        <v>43480</v>
      </c>
      <c r="B490" s="18" t="s">
        <v>166</v>
      </c>
      <c r="C490" s="14" t="s">
        <v>15</v>
      </c>
      <c r="D490" s="14" t="s">
        <v>16</v>
      </c>
      <c r="E490" s="14" t="s">
        <v>17</v>
      </c>
      <c r="F490" s="14" t="s">
        <v>1441</v>
      </c>
      <c r="G490" s="14" t="n">
        <f aca="false">+593981681257</f>
        <v>593981681257</v>
      </c>
      <c r="H490" s="28" t="s">
        <v>1442</v>
      </c>
      <c r="I490" s="28"/>
      <c r="J490" s="14"/>
      <c r="K490" s="1" t="s">
        <v>1443</v>
      </c>
      <c r="L490" s="1"/>
      <c r="M490" s="1"/>
      <c r="N490" s="1"/>
      <c r="O490" s="1"/>
      <c r="P490" s="6" t="s">
        <v>133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21.75" hidden="false" customHeight="true" outlineLevel="0" collapsed="false">
      <c r="A491" s="4" t="n">
        <v>43480</v>
      </c>
      <c r="B491" s="18" t="s">
        <v>166</v>
      </c>
      <c r="C491" s="14" t="s">
        <v>15</v>
      </c>
      <c r="D491" s="14" t="s">
        <v>16</v>
      </c>
      <c r="E491" s="14" t="s">
        <v>17</v>
      </c>
      <c r="F491" s="14" t="s">
        <v>1444</v>
      </c>
      <c r="G491" s="14" t="n">
        <f aca="false">+593984263762</f>
        <v>593984263762</v>
      </c>
      <c r="H491" s="28" t="s">
        <v>1445</v>
      </c>
      <c r="I491" s="28"/>
      <c r="J491" s="14"/>
      <c r="K491" s="1" t="s">
        <v>1446</v>
      </c>
      <c r="L491" s="1"/>
      <c r="M491" s="1"/>
      <c r="N491" s="1"/>
      <c r="O491" s="1"/>
      <c r="P491" s="6" t="s">
        <v>133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21.75" hidden="false" customHeight="true" outlineLevel="0" collapsed="false">
      <c r="A492" s="4" t="n">
        <v>43480</v>
      </c>
      <c r="B492" s="18" t="s">
        <v>166</v>
      </c>
      <c r="C492" s="14" t="s">
        <v>15</v>
      </c>
      <c r="D492" s="14" t="s">
        <v>16</v>
      </c>
      <c r="E492" s="14" t="s">
        <v>17</v>
      </c>
      <c r="F492" s="14" t="s">
        <v>1447</v>
      </c>
      <c r="G492" s="14" t="n">
        <f aca="false">+593990876799</f>
        <v>593990876799</v>
      </c>
      <c r="H492" s="14" t="s">
        <v>1448</v>
      </c>
      <c r="I492" s="14"/>
      <c r="J492" s="1"/>
      <c r="K492" s="1" t="s">
        <v>21</v>
      </c>
      <c r="L492" s="1"/>
      <c r="M492" s="1"/>
      <c r="N492" s="1"/>
      <c r="O492" s="1"/>
      <c r="P492" s="6" t="s">
        <v>21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21.75" hidden="false" customHeight="true" outlineLevel="0" collapsed="false">
      <c r="A493" s="4" t="n">
        <v>43480</v>
      </c>
      <c r="B493" s="18" t="s">
        <v>166</v>
      </c>
      <c r="C493" s="14" t="s">
        <v>15</v>
      </c>
      <c r="D493" s="14" t="s">
        <v>16</v>
      </c>
      <c r="E493" s="14" t="s">
        <v>17</v>
      </c>
      <c r="F493" s="14" t="s">
        <v>1449</v>
      </c>
      <c r="G493" s="14" t="n">
        <f aca="false">+5930995503283</f>
        <v>5930995503283</v>
      </c>
      <c r="H493" s="14" t="s">
        <v>1450</v>
      </c>
      <c r="I493" s="14"/>
      <c r="J493" s="1"/>
      <c r="K493" s="1" t="s">
        <v>21</v>
      </c>
      <c r="L493" s="1"/>
      <c r="M493" s="1"/>
      <c r="N493" s="1"/>
      <c r="O493" s="1"/>
      <c r="P493" s="6" t="s">
        <v>21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21.75" hidden="false" customHeight="true" outlineLevel="0" collapsed="false">
      <c r="A494" s="4" t="n">
        <v>43480</v>
      </c>
      <c r="B494" s="14" t="s">
        <v>323</v>
      </c>
      <c r="C494" s="14" t="s">
        <v>15</v>
      </c>
      <c r="D494" s="14" t="s">
        <v>43</v>
      </c>
      <c r="E494" s="14" t="s">
        <v>109</v>
      </c>
      <c r="F494" s="14" t="s">
        <v>1451</v>
      </c>
      <c r="G494" s="14" t="n">
        <f aca="false">+593968949465</f>
        <v>593968949465</v>
      </c>
      <c r="H494" s="28" t="s">
        <v>1452</v>
      </c>
      <c r="I494" s="28"/>
      <c r="J494" s="14"/>
      <c r="K494" s="1" t="s">
        <v>1453</v>
      </c>
      <c r="L494" s="1"/>
      <c r="M494" s="1"/>
      <c r="N494" s="1"/>
      <c r="O494" s="1"/>
      <c r="P494" s="6" t="s">
        <v>887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21.75" hidden="false" customHeight="true" outlineLevel="0" collapsed="false">
      <c r="A495" s="4" t="n">
        <v>43480</v>
      </c>
      <c r="B495" s="14" t="s">
        <v>323</v>
      </c>
      <c r="C495" s="14" t="s">
        <v>15</v>
      </c>
      <c r="D495" s="14" t="s">
        <v>43</v>
      </c>
      <c r="E495" s="14" t="s">
        <v>109</v>
      </c>
      <c r="F495" s="14" t="s">
        <v>1454</v>
      </c>
      <c r="G495" s="14" t="n">
        <f aca="false">+5930959134813</f>
        <v>5930959134813</v>
      </c>
      <c r="H495" s="28" t="s">
        <v>1455</v>
      </c>
      <c r="I495" s="28"/>
      <c r="J495" s="14"/>
      <c r="K495" s="1" t="s">
        <v>21</v>
      </c>
      <c r="L495" s="1"/>
      <c r="M495" s="1"/>
      <c r="N495" s="1"/>
      <c r="O495" s="1"/>
      <c r="P495" s="6" t="s">
        <v>21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21.75" hidden="false" customHeight="true" outlineLevel="0" collapsed="false">
      <c r="A496" s="4" t="n">
        <v>43480</v>
      </c>
      <c r="B496" s="18" t="s">
        <v>323</v>
      </c>
      <c r="C496" s="14" t="s">
        <v>15</v>
      </c>
      <c r="D496" s="14" t="s">
        <v>43</v>
      </c>
      <c r="E496" s="14" t="s">
        <v>109</v>
      </c>
      <c r="F496" s="19" t="s">
        <v>1456</v>
      </c>
      <c r="G496" s="18" t="n">
        <v>991122858</v>
      </c>
      <c r="H496" s="18"/>
      <c r="I496" s="18"/>
      <c r="J496" s="1"/>
      <c r="K496" s="1" t="s">
        <v>21</v>
      </c>
      <c r="L496" s="1"/>
      <c r="M496" s="1"/>
      <c r="N496" s="1"/>
      <c r="O496" s="1"/>
      <c r="P496" s="6" t="s">
        <v>21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21.75" hidden="false" customHeight="true" outlineLevel="0" collapsed="false">
      <c r="A497" s="4" t="n">
        <v>43480</v>
      </c>
      <c r="B497" s="14" t="s">
        <v>323</v>
      </c>
      <c r="C497" s="14" t="s">
        <v>26</v>
      </c>
      <c r="D497" s="14" t="s">
        <v>43</v>
      </c>
      <c r="E497" s="14" t="s">
        <v>109</v>
      </c>
      <c r="F497" s="14" t="s">
        <v>1457</v>
      </c>
      <c r="G497" s="14" t="n">
        <f aca="false">+593959001236</f>
        <v>593959001236</v>
      </c>
      <c r="H497" s="14" t="s">
        <v>1458</v>
      </c>
      <c r="I497" s="14"/>
      <c r="J497" s="1"/>
      <c r="K497" s="1" t="s">
        <v>1459</v>
      </c>
      <c r="L497" s="1"/>
      <c r="M497" s="1"/>
      <c r="N497" s="1"/>
      <c r="O497" s="1"/>
      <c r="P497" s="6" t="s">
        <v>133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21.75" hidden="false" customHeight="true" outlineLevel="0" collapsed="false">
      <c r="A498" s="4" t="n">
        <v>43480</v>
      </c>
      <c r="B498" s="18" t="s">
        <v>323</v>
      </c>
      <c r="C498" s="14" t="s">
        <v>15</v>
      </c>
      <c r="D498" s="14" t="s">
        <v>43</v>
      </c>
      <c r="E498" s="14" t="s">
        <v>109</v>
      </c>
      <c r="F498" s="19" t="s">
        <v>1460</v>
      </c>
      <c r="G498" s="18" t="n">
        <v>980933285</v>
      </c>
      <c r="H498" s="18" t="s">
        <v>1461</v>
      </c>
      <c r="I498" s="18"/>
      <c r="J498" s="1"/>
      <c r="K498" s="1" t="s">
        <v>1462</v>
      </c>
      <c r="L498" s="1"/>
      <c r="M498" s="1"/>
      <c r="N498" s="1"/>
      <c r="O498" s="1"/>
      <c r="P498" s="6" t="s">
        <v>133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21.75" hidden="false" customHeight="true" outlineLevel="0" collapsed="false">
      <c r="A499" s="4" t="n">
        <v>43480</v>
      </c>
      <c r="B499" s="18" t="s">
        <v>323</v>
      </c>
      <c r="C499" s="14" t="s">
        <v>15</v>
      </c>
      <c r="D499" s="14" t="s">
        <v>43</v>
      </c>
      <c r="E499" s="14" t="s">
        <v>109</v>
      </c>
      <c r="F499" s="19" t="s">
        <v>1463</v>
      </c>
      <c r="G499" s="18" t="n">
        <v>999546143</v>
      </c>
      <c r="H499" s="18" t="s">
        <v>1464</v>
      </c>
      <c r="I499" s="18"/>
      <c r="J499" s="1"/>
      <c r="K499" s="1" t="s">
        <v>1465</v>
      </c>
      <c r="L499" s="1"/>
      <c r="M499" s="1"/>
      <c r="N499" s="1"/>
      <c r="O499" s="1"/>
      <c r="P499" s="6" t="s">
        <v>133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21.75" hidden="false" customHeight="true" outlineLevel="0" collapsed="false">
      <c r="A500" s="4" t="n">
        <v>43480</v>
      </c>
      <c r="B500" s="18" t="s">
        <v>323</v>
      </c>
      <c r="C500" s="14" t="s">
        <v>15</v>
      </c>
      <c r="D500" s="14" t="s">
        <v>43</v>
      </c>
      <c r="E500" s="14" t="s">
        <v>109</v>
      </c>
      <c r="F500" s="19" t="s">
        <v>1466</v>
      </c>
      <c r="G500" s="18" t="n">
        <v>995419658</v>
      </c>
      <c r="H500" s="18" t="s">
        <v>1467</v>
      </c>
      <c r="I500" s="18"/>
      <c r="J500" s="1"/>
      <c r="K500" s="1" t="s">
        <v>21</v>
      </c>
      <c r="L500" s="1"/>
      <c r="M500" s="1"/>
      <c r="N500" s="1"/>
      <c r="O500" s="1"/>
      <c r="P500" s="6" t="s">
        <v>21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21.75" hidden="false" customHeight="true" outlineLevel="0" collapsed="false">
      <c r="A501" s="4" t="n">
        <v>43480</v>
      </c>
      <c r="B501" s="14" t="s">
        <v>1106</v>
      </c>
      <c r="C501" s="14" t="s">
        <v>15</v>
      </c>
      <c r="D501" s="14" t="s">
        <v>43</v>
      </c>
      <c r="E501" s="14" t="s">
        <v>109</v>
      </c>
      <c r="F501" s="14" t="s">
        <v>1468</v>
      </c>
      <c r="G501" s="14" t="n">
        <f aca="false">+593983073567</f>
        <v>593983073567</v>
      </c>
      <c r="H501" s="28" t="s">
        <v>1469</v>
      </c>
      <c r="I501" s="28"/>
      <c r="J501" s="14"/>
      <c r="K501" s="1" t="s">
        <v>21</v>
      </c>
      <c r="L501" s="1"/>
      <c r="M501" s="1"/>
      <c r="N501" s="1"/>
      <c r="O501" s="1"/>
      <c r="P501" s="6" t="s">
        <v>21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21.75" hidden="false" customHeight="true" outlineLevel="0" collapsed="false">
      <c r="A502" s="4" t="n">
        <v>43480</v>
      </c>
      <c r="B502" s="14" t="s">
        <v>1106</v>
      </c>
      <c r="C502" s="14" t="s">
        <v>15</v>
      </c>
      <c r="D502" s="14" t="s">
        <v>43</v>
      </c>
      <c r="E502" s="14" t="s">
        <v>109</v>
      </c>
      <c r="F502" s="14" t="s">
        <v>1470</v>
      </c>
      <c r="G502" s="14" t="n">
        <f aca="false">+593998265550</f>
        <v>593998265550</v>
      </c>
      <c r="H502" s="28" t="s">
        <v>1471</v>
      </c>
      <c r="I502" s="28"/>
      <c r="J502" s="14"/>
      <c r="K502" s="1" t="s">
        <v>1472</v>
      </c>
      <c r="L502" s="1"/>
      <c r="M502" s="1"/>
      <c r="N502" s="1"/>
      <c r="O502" s="1"/>
      <c r="P502" s="6" t="s">
        <v>31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21.75" hidden="false" customHeight="true" outlineLevel="0" collapsed="false">
      <c r="A503" s="4" t="n">
        <v>43480</v>
      </c>
      <c r="B503" s="14" t="s">
        <v>1106</v>
      </c>
      <c r="C503" s="14" t="s">
        <v>15</v>
      </c>
      <c r="D503" s="14" t="s">
        <v>43</v>
      </c>
      <c r="E503" s="14" t="s">
        <v>109</v>
      </c>
      <c r="F503" s="14" t="s">
        <v>1473</v>
      </c>
      <c r="G503" s="14" t="n">
        <f aca="false">+5930997056072</f>
        <v>5930997056072</v>
      </c>
      <c r="H503" s="28" t="s">
        <v>1474</v>
      </c>
      <c r="I503" s="28"/>
      <c r="J503" s="14"/>
      <c r="K503" s="1" t="s">
        <v>21</v>
      </c>
      <c r="L503" s="1"/>
      <c r="M503" s="1"/>
      <c r="N503" s="1"/>
      <c r="O503" s="1"/>
      <c r="P503" s="6" t="s">
        <v>21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21.75" hidden="false" customHeight="true" outlineLevel="0" collapsed="false">
      <c r="A504" s="4" t="n">
        <v>43480</v>
      </c>
      <c r="B504" s="14" t="s">
        <v>1106</v>
      </c>
      <c r="C504" s="14" t="s">
        <v>15</v>
      </c>
      <c r="D504" s="14" t="s">
        <v>43</v>
      </c>
      <c r="E504" s="14" t="s">
        <v>109</v>
      </c>
      <c r="F504" s="14" t="s">
        <v>1475</v>
      </c>
      <c r="G504" s="14" t="n">
        <f aca="false">+5930991946687</f>
        <v>5930991946687</v>
      </c>
      <c r="H504" s="14" t="s">
        <v>1476</v>
      </c>
      <c r="I504" s="14"/>
      <c r="J504" s="1"/>
      <c r="K504" s="1" t="s">
        <v>1477</v>
      </c>
      <c r="L504" s="1"/>
      <c r="M504" s="1"/>
      <c r="N504" s="1"/>
      <c r="O504" s="1"/>
      <c r="P504" s="6" t="s">
        <v>751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21.75" hidden="false" customHeight="true" outlineLevel="0" collapsed="false">
      <c r="A505" s="4" t="n">
        <v>43480</v>
      </c>
      <c r="B505" s="14" t="s">
        <v>1478</v>
      </c>
      <c r="C505" s="14" t="s">
        <v>26</v>
      </c>
      <c r="D505" s="14" t="s">
        <v>43</v>
      </c>
      <c r="E505" s="14" t="s">
        <v>109</v>
      </c>
      <c r="F505" s="14" t="s">
        <v>1479</v>
      </c>
      <c r="G505" s="14" t="n">
        <f aca="false">+593967411436</f>
        <v>593967411436</v>
      </c>
      <c r="H505" s="28" t="s">
        <v>1480</v>
      </c>
      <c r="I505" s="28"/>
      <c r="J505" s="14"/>
      <c r="K505" s="1" t="s">
        <v>21</v>
      </c>
      <c r="L505" s="1"/>
      <c r="M505" s="1"/>
      <c r="N505" s="1"/>
      <c r="O505" s="1"/>
      <c r="P505" s="6" t="s">
        <v>21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21.75" hidden="false" customHeight="true" outlineLevel="0" collapsed="false">
      <c r="A506" s="4" t="n">
        <v>43480</v>
      </c>
      <c r="B506" s="14" t="s">
        <v>1478</v>
      </c>
      <c r="C506" s="14" t="s">
        <v>15</v>
      </c>
      <c r="D506" s="14" t="s">
        <v>43</v>
      </c>
      <c r="E506" s="14" t="s">
        <v>109</v>
      </c>
      <c r="F506" s="14" t="s">
        <v>1481</v>
      </c>
      <c r="G506" s="14" t="n">
        <f aca="false">+5930968984541</f>
        <v>5930968984541</v>
      </c>
      <c r="H506" s="28" t="s">
        <v>1482</v>
      </c>
      <c r="I506" s="28"/>
      <c r="J506" s="14"/>
      <c r="K506" s="1" t="s">
        <v>21</v>
      </c>
      <c r="L506" s="1"/>
      <c r="M506" s="1"/>
      <c r="N506" s="1"/>
      <c r="O506" s="1"/>
      <c r="P506" s="6" t="s">
        <v>21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21.75" hidden="false" customHeight="true" outlineLevel="0" collapsed="false">
      <c r="A507" s="4" t="n">
        <v>43480</v>
      </c>
      <c r="B507" s="14" t="s">
        <v>1478</v>
      </c>
      <c r="C507" s="14" t="s">
        <v>15</v>
      </c>
      <c r="D507" s="14" t="s">
        <v>43</v>
      </c>
      <c r="E507" s="14" t="s">
        <v>109</v>
      </c>
      <c r="F507" s="14" t="s">
        <v>1483</v>
      </c>
      <c r="G507" s="14" t="n">
        <f aca="false">+5930997125821</f>
        <v>5930997125821</v>
      </c>
      <c r="H507" s="28" t="s">
        <v>1484</v>
      </c>
      <c r="I507" s="28"/>
      <c r="J507" s="14"/>
      <c r="K507" s="1" t="s">
        <v>21</v>
      </c>
      <c r="L507" s="1"/>
      <c r="M507" s="1"/>
      <c r="N507" s="1"/>
      <c r="O507" s="1"/>
      <c r="P507" s="6" t="s">
        <v>21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21.75" hidden="false" customHeight="true" outlineLevel="0" collapsed="false">
      <c r="A508" s="4" t="n">
        <v>43480</v>
      </c>
      <c r="B508" s="14" t="s">
        <v>1478</v>
      </c>
      <c r="C508" s="14" t="s">
        <v>15</v>
      </c>
      <c r="D508" s="14" t="s">
        <v>43</v>
      </c>
      <c r="E508" s="14" t="s">
        <v>109</v>
      </c>
      <c r="F508" s="14" t="s">
        <v>1485</v>
      </c>
      <c r="G508" s="14" t="n">
        <f aca="false">+593980203185</f>
        <v>593980203185</v>
      </c>
      <c r="H508" s="14" t="s">
        <v>1486</v>
      </c>
      <c r="I508" s="14"/>
      <c r="J508" s="1"/>
      <c r="K508" s="1" t="s">
        <v>1487</v>
      </c>
      <c r="L508" s="1"/>
      <c r="M508" s="1"/>
      <c r="N508" s="1"/>
      <c r="O508" s="1"/>
      <c r="P508" s="6" t="s">
        <v>133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21.75" hidden="false" customHeight="true" outlineLevel="0" collapsed="false">
      <c r="A509" s="4" t="n">
        <v>43480</v>
      </c>
      <c r="B509" s="18" t="s">
        <v>108</v>
      </c>
      <c r="C509" s="14" t="s">
        <v>15</v>
      </c>
      <c r="D509" s="14" t="s">
        <v>16</v>
      </c>
      <c r="E509" s="5" t="s">
        <v>109</v>
      </c>
      <c r="F509" s="14" t="s">
        <v>1488</v>
      </c>
      <c r="G509" s="14" t="n">
        <f aca="false">+5930982766622</f>
        <v>5930982766622</v>
      </c>
      <c r="H509" s="28" t="s">
        <v>1489</v>
      </c>
      <c r="I509" s="28"/>
      <c r="J509" s="14"/>
      <c r="K509" s="1" t="s">
        <v>21</v>
      </c>
      <c r="L509" s="1"/>
      <c r="M509" s="1"/>
      <c r="N509" s="1"/>
      <c r="O509" s="1"/>
      <c r="P509" s="6" t="s">
        <v>21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21.75" hidden="false" customHeight="true" outlineLevel="0" collapsed="false">
      <c r="A510" s="4" t="n">
        <v>43480</v>
      </c>
      <c r="B510" s="18" t="s">
        <v>48</v>
      </c>
      <c r="C510" s="14" t="s">
        <v>15</v>
      </c>
      <c r="D510" s="14" t="s">
        <v>43</v>
      </c>
      <c r="E510" s="14" t="s">
        <v>44</v>
      </c>
      <c r="F510" s="14" t="s">
        <v>1490</v>
      </c>
      <c r="G510" s="20" t="n">
        <v>593991537328</v>
      </c>
      <c r="H510" s="28" t="s">
        <v>1491</v>
      </c>
      <c r="I510" s="28"/>
      <c r="J510" s="14"/>
      <c r="K510" s="1" t="s">
        <v>21</v>
      </c>
      <c r="L510" s="1"/>
      <c r="M510" s="1"/>
      <c r="N510" s="1"/>
      <c r="O510" s="1"/>
      <c r="P510" s="6" t="s">
        <v>21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21.75" hidden="false" customHeight="true" outlineLevel="0" collapsed="false">
      <c r="A511" s="4" t="n">
        <v>43480</v>
      </c>
      <c r="B511" s="18" t="s">
        <v>48</v>
      </c>
      <c r="C511" s="14" t="s">
        <v>15</v>
      </c>
      <c r="D511" s="14" t="s">
        <v>43</v>
      </c>
      <c r="E511" s="14" t="s">
        <v>44</v>
      </c>
      <c r="F511" s="14" t="s">
        <v>1492</v>
      </c>
      <c r="G511" s="14" t="n">
        <f aca="false">+5930983734509</f>
        <v>5930983734509</v>
      </c>
      <c r="H511" s="28" t="s">
        <v>1493</v>
      </c>
      <c r="I511" s="28"/>
      <c r="J511" s="14"/>
      <c r="K511" s="1" t="s">
        <v>21</v>
      </c>
      <c r="L511" s="1"/>
      <c r="M511" s="1"/>
      <c r="N511" s="1"/>
      <c r="O511" s="1"/>
      <c r="P511" s="6" t="s">
        <v>21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21.75" hidden="false" customHeight="true" outlineLevel="0" collapsed="false">
      <c r="A512" s="4" t="n">
        <v>43480</v>
      </c>
      <c r="B512" s="18" t="s">
        <v>48</v>
      </c>
      <c r="C512" s="14" t="s">
        <v>15</v>
      </c>
      <c r="D512" s="14" t="s">
        <v>43</v>
      </c>
      <c r="E512" s="14" t="s">
        <v>44</v>
      </c>
      <c r="F512" s="14" t="s">
        <v>1494</v>
      </c>
      <c r="G512" s="14" t="n">
        <f aca="false">+5930985643581</f>
        <v>5930985643581</v>
      </c>
      <c r="H512" s="28" t="s">
        <v>1495</v>
      </c>
      <c r="I512" s="28"/>
      <c r="J512" s="14"/>
      <c r="K512" s="1" t="s">
        <v>21</v>
      </c>
      <c r="L512" s="1"/>
      <c r="M512" s="1"/>
      <c r="N512" s="1"/>
      <c r="O512" s="1"/>
      <c r="P512" s="6" t="s">
        <v>21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21.75" hidden="false" customHeight="true" outlineLevel="0" collapsed="false">
      <c r="A513" s="4" t="n">
        <v>43480</v>
      </c>
      <c r="B513" s="18" t="s">
        <v>48</v>
      </c>
      <c r="C513" s="14" t="s">
        <v>15</v>
      </c>
      <c r="D513" s="14" t="s">
        <v>43</v>
      </c>
      <c r="E513" s="14" t="s">
        <v>44</v>
      </c>
      <c r="F513" s="14" t="s">
        <v>1496</v>
      </c>
      <c r="G513" s="14" t="n">
        <f aca="false">+593989233003</f>
        <v>593989233003</v>
      </c>
      <c r="H513" s="28" t="s">
        <v>1497</v>
      </c>
      <c r="I513" s="28"/>
      <c r="J513" s="14"/>
      <c r="K513" s="1" t="s">
        <v>21</v>
      </c>
      <c r="L513" s="1"/>
      <c r="M513" s="1"/>
      <c r="N513" s="1"/>
      <c r="O513" s="1"/>
      <c r="P513" s="6" t="s">
        <v>21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21.75" hidden="false" customHeight="true" outlineLevel="0" collapsed="false">
      <c r="A514" s="4" t="n">
        <v>43480</v>
      </c>
      <c r="B514" s="18" t="s">
        <v>48</v>
      </c>
      <c r="C514" s="14" t="s">
        <v>15</v>
      </c>
      <c r="D514" s="14" t="s">
        <v>43</v>
      </c>
      <c r="E514" s="14" t="s">
        <v>44</v>
      </c>
      <c r="F514" s="14" t="s">
        <v>1498</v>
      </c>
      <c r="G514" s="14" t="n">
        <f aca="false">+593991684887</f>
        <v>593991684887</v>
      </c>
      <c r="H514" s="28" t="s">
        <v>1499</v>
      </c>
      <c r="I514" s="28"/>
      <c r="J514" s="14"/>
      <c r="K514" s="1" t="s">
        <v>21</v>
      </c>
      <c r="L514" s="1"/>
      <c r="M514" s="1"/>
      <c r="N514" s="1"/>
      <c r="O514" s="1"/>
      <c r="P514" s="6" t="s">
        <v>21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21.75" hidden="false" customHeight="true" outlineLevel="0" collapsed="false">
      <c r="A515" s="4" t="n">
        <v>43480</v>
      </c>
      <c r="B515" s="18" t="s">
        <v>48</v>
      </c>
      <c r="C515" s="14" t="s">
        <v>26</v>
      </c>
      <c r="D515" s="14" t="s">
        <v>43</v>
      </c>
      <c r="E515" s="14" t="s">
        <v>44</v>
      </c>
      <c r="F515" s="14" t="s">
        <v>1500</v>
      </c>
      <c r="G515" s="14" t="n">
        <f aca="false">+593980633407</f>
        <v>593980633407</v>
      </c>
      <c r="H515" s="28" t="s">
        <v>1501</v>
      </c>
      <c r="I515" s="28"/>
      <c r="J515" s="14"/>
      <c r="K515" s="1" t="s">
        <v>21</v>
      </c>
      <c r="L515" s="1"/>
      <c r="M515" s="1"/>
      <c r="N515" s="1"/>
      <c r="O515" s="1"/>
      <c r="P515" s="6" t="s">
        <v>21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21.75" hidden="false" customHeight="true" outlineLevel="0" collapsed="false">
      <c r="A516" s="4" t="n">
        <v>43480</v>
      </c>
      <c r="B516" s="18" t="s">
        <v>48</v>
      </c>
      <c r="C516" s="14" t="s">
        <v>15</v>
      </c>
      <c r="D516" s="14" t="s">
        <v>43</v>
      </c>
      <c r="E516" s="14" t="s">
        <v>44</v>
      </c>
      <c r="F516" s="14" t="s">
        <v>1502</v>
      </c>
      <c r="G516" s="14" t="n">
        <f aca="false">+593983341594</f>
        <v>593983341594</v>
      </c>
      <c r="H516" s="28" t="s">
        <v>1503</v>
      </c>
      <c r="I516" s="28"/>
      <c r="J516" s="14"/>
      <c r="K516" s="1" t="s">
        <v>496</v>
      </c>
      <c r="L516" s="1"/>
      <c r="M516" s="1"/>
      <c r="N516" s="1"/>
      <c r="O516" s="1"/>
      <c r="P516" s="6" t="s">
        <v>133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21.75" hidden="false" customHeight="true" outlineLevel="0" collapsed="false">
      <c r="A517" s="4" t="n">
        <v>43480</v>
      </c>
      <c r="B517" s="18" t="s">
        <v>48</v>
      </c>
      <c r="C517" s="14" t="s">
        <v>26</v>
      </c>
      <c r="D517" s="14" t="s">
        <v>43</v>
      </c>
      <c r="E517" s="14" t="s">
        <v>44</v>
      </c>
      <c r="F517" s="14" t="s">
        <v>1504</v>
      </c>
      <c r="G517" s="14" t="n">
        <f aca="false">+593984062054</f>
        <v>593984062054</v>
      </c>
      <c r="H517" s="28" t="s">
        <v>1505</v>
      </c>
      <c r="I517" s="28"/>
      <c r="J517" s="14"/>
      <c r="K517" s="1" t="s">
        <v>1506</v>
      </c>
      <c r="L517" s="1"/>
      <c r="M517" s="1"/>
      <c r="N517" s="1"/>
      <c r="O517" s="1"/>
      <c r="P517" s="6" t="s">
        <v>133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21.75" hidden="false" customHeight="true" outlineLevel="0" collapsed="false">
      <c r="A518" s="4" t="n">
        <v>43480</v>
      </c>
      <c r="B518" s="18" t="s">
        <v>48</v>
      </c>
      <c r="C518" s="14" t="s">
        <v>15</v>
      </c>
      <c r="D518" s="14" t="s">
        <v>43</v>
      </c>
      <c r="E518" s="14" t="s">
        <v>44</v>
      </c>
      <c r="F518" s="14" t="s">
        <v>1507</v>
      </c>
      <c r="G518" s="14" t="n">
        <f aca="false">+593991102266</f>
        <v>593991102266</v>
      </c>
      <c r="H518" s="28" t="s">
        <v>1508</v>
      </c>
      <c r="I518" s="28"/>
      <c r="J518" s="14"/>
      <c r="K518" s="1" t="s">
        <v>21</v>
      </c>
      <c r="L518" s="1"/>
      <c r="M518" s="1"/>
      <c r="N518" s="1"/>
      <c r="O518" s="1"/>
      <c r="P518" s="6" t="s">
        <v>21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21.75" hidden="false" customHeight="true" outlineLevel="0" collapsed="false">
      <c r="A519" s="4" t="n">
        <v>43480</v>
      </c>
      <c r="B519" s="18" t="s">
        <v>48</v>
      </c>
      <c r="C519" s="14" t="s">
        <v>15</v>
      </c>
      <c r="D519" s="14" t="s">
        <v>43</v>
      </c>
      <c r="E519" s="14" t="s">
        <v>44</v>
      </c>
      <c r="F519" s="14" t="s">
        <v>1509</v>
      </c>
      <c r="G519" s="14" t="n">
        <f aca="false">+5930992213170</f>
        <v>5930992213170</v>
      </c>
      <c r="H519" s="28" t="s">
        <v>1282</v>
      </c>
      <c r="I519" s="28"/>
      <c r="J519" s="14"/>
      <c r="K519" s="1" t="s">
        <v>1510</v>
      </c>
      <c r="L519" s="1"/>
      <c r="M519" s="1"/>
      <c r="N519" s="1"/>
      <c r="O519" s="1"/>
      <c r="P519" s="6" t="s">
        <v>133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21.75" hidden="false" customHeight="true" outlineLevel="0" collapsed="false">
      <c r="A520" s="4" t="n">
        <v>43480</v>
      </c>
      <c r="B520" s="18" t="s">
        <v>48</v>
      </c>
      <c r="C520" s="14" t="s">
        <v>26</v>
      </c>
      <c r="D520" s="14" t="s">
        <v>43</v>
      </c>
      <c r="E520" s="14" t="s">
        <v>44</v>
      </c>
      <c r="F520" s="14" t="s">
        <v>1511</v>
      </c>
      <c r="G520" s="14" t="n">
        <f aca="false">+593983690977</f>
        <v>593983690977</v>
      </c>
      <c r="H520" s="28" t="s">
        <v>1512</v>
      </c>
      <c r="I520" s="28"/>
      <c r="J520" s="14"/>
      <c r="K520" s="1" t="s">
        <v>21</v>
      </c>
      <c r="L520" s="1"/>
      <c r="M520" s="1"/>
      <c r="N520" s="1"/>
      <c r="O520" s="1"/>
      <c r="P520" s="6" t="s">
        <v>21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21.75" hidden="false" customHeight="true" outlineLevel="0" collapsed="false">
      <c r="A521" s="4" t="n">
        <v>43480</v>
      </c>
      <c r="B521" s="18" t="s">
        <v>48</v>
      </c>
      <c r="C521" s="14" t="s">
        <v>15</v>
      </c>
      <c r="D521" s="14" t="s">
        <v>43</v>
      </c>
      <c r="E521" s="14" t="s">
        <v>44</v>
      </c>
      <c r="F521" s="14" t="s">
        <v>1513</v>
      </c>
      <c r="G521" s="14" t="n">
        <f aca="false">+593981571209</f>
        <v>593981571209</v>
      </c>
      <c r="H521" s="28" t="s">
        <v>1514</v>
      </c>
      <c r="I521" s="28"/>
      <c r="J521" s="14"/>
      <c r="K521" s="1" t="s">
        <v>21</v>
      </c>
      <c r="L521" s="1"/>
      <c r="M521" s="1"/>
      <c r="N521" s="1"/>
      <c r="O521" s="1"/>
      <c r="P521" s="6" t="s">
        <v>21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21.75" hidden="false" customHeight="true" outlineLevel="0" collapsed="false">
      <c r="A522" s="4" t="n">
        <v>43480</v>
      </c>
      <c r="B522" s="18" t="s">
        <v>48</v>
      </c>
      <c r="C522" s="14" t="s">
        <v>15</v>
      </c>
      <c r="D522" s="14" t="s">
        <v>43</v>
      </c>
      <c r="E522" s="14" t="s">
        <v>44</v>
      </c>
      <c r="F522" s="14" t="s">
        <v>1515</v>
      </c>
      <c r="G522" s="14" t="n">
        <f aca="false">+593967536006</f>
        <v>593967536006</v>
      </c>
      <c r="H522" s="14" t="s">
        <v>1516</v>
      </c>
      <c r="I522" s="14"/>
      <c r="J522" s="1"/>
      <c r="K522" s="1" t="s">
        <v>21</v>
      </c>
      <c r="L522" s="1"/>
      <c r="M522" s="1"/>
      <c r="N522" s="1"/>
      <c r="O522" s="1"/>
      <c r="P522" s="6" t="s">
        <v>21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21.75" hidden="false" customHeight="true" outlineLevel="0" collapsed="false">
      <c r="A523" s="4" t="n">
        <v>43480</v>
      </c>
      <c r="B523" s="18" t="s">
        <v>48</v>
      </c>
      <c r="C523" s="14" t="s">
        <v>15</v>
      </c>
      <c r="D523" s="14" t="s">
        <v>43</v>
      </c>
      <c r="E523" s="14" t="s">
        <v>44</v>
      </c>
      <c r="F523" s="14" t="s">
        <v>1517</v>
      </c>
      <c r="G523" s="14" t="n">
        <f aca="false">+593969221844</f>
        <v>593969221844</v>
      </c>
      <c r="H523" s="14" t="s">
        <v>1518</v>
      </c>
      <c r="I523" s="14"/>
      <c r="J523" s="1"/>
      <c r="K523" s="1" t="s">
        <v>1519</v>
      </c>
      <c r="L523" s="1"/>
      <c r="M523" s="1"/>
      <c r="N523" s="1"/>
      <c r="O523" s="1"/>
      <c r="P523" s="6" t="s">
        <v>133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21.75" hidden="false" customHeight="true" outlineLevel="0" collapsed="false">
      <c r="A524" s="4" t="n">
        <v>43480</v>
      </c>
      <c r="B524" s="14" t="s">
        <v>48</v>
      </c>
      <c r="C524" s="14" t="s">
        <v>15</v>
      </c>
      <c r="D524" s="14" t="s">
        <v>43</v>
      </c>
      <c r="E524" s="14" t="s">
        <v>109</v>
      </c>
      <c r="F524" s="14" t="s">
        <v>1520</v>
      </c>
      <c r="G524" s="14" t="n">
        <f aca="false">+5390961693728</f>
        <v>5390961693728</v>
      </c>
      <c r="H524" s="28" t="s">
        <v>1521</v>
      </c>
      <c r="I524" s="28"/>
      <c r="J524" s="14"/>
      <c r="K524" s="1" t="s">
        <v>727</v>
      </c>
      <c r="L524" s="1"/>
      <c r="M524" s="1"/>
      <c r="N524" s="1"/>
      <c r="O524" s="1"/>
      <c r="P524" s="6" t="s">
        <v>133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21.75" hidden="false" customHeight="true" outlineLevel="0" collapsed="false">
      <c r="A525" s="4" t="n">
        <v>43480</v>
      </c>
      <c r="B525" s="14" t="s">
        <v>48</v>
      </c>
      <c r="C525" s="14" t="s">
        <v>15</v>
      </c>
      <c r="D525" s="14" t="s">
        <v>43</v>
      </c>
      <c r="E525" s="14" t="s">
        <v>109</v>
      </c>
      <c r="F525" s="14" t="s">
        <v>1522</v>
      </c>
      <c r="G525" s="14" t="n">
        <f aca="false">+593998042923</f>
        <v>593998042923</v>
      </c>
      <c r="H525" s="28" t="s">
        <v>1523</v>
      </c>
      <c r="I525" s="28"/>
      <c r="J525" s="14"/>
      <c r="K525" s="1" t="s">
        <v>21</v>
      </c>
      <c r="L525" s="1"/>
      <c r="M525" s="1"/>
      <c r="N525" s="1"/>
      <c r="O525" s="1"/>
      <c r="P525" s="6" t="s">
        <v>21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21.75" hidden="false" customHeight="true" outlineLevel="0" collapsed="false">
      <c r="A526" s="4" t="n">
        <v>43480</v>
      </c>
      <c r="B526" s="14" t="s">
        <v>48</v>
      </c>
      <c r="C526" s="14" t="s">
        <v>15</v>
      </c>
      <c r="D526" s="14" t="s">
        <v>43</v>
      </c>
      <c r="E526" s="14" t="s">
        <v>109</v>
      </c>
      <c r="F526" s="14" t="s">
        <v>1524</v>
      </c>
      <c r="G526" s="14" t="n">
        <f aca="false">+5930989771815</f>
        <v>5930989771815</v>
      </c>
      <c r="H526" s="28" t="s">
        <v>1525</v>
      </c>
      <c r="I526" s="28"/>
      <c r="J526" s="14"/>
      <c r="K526" s="1" t="s">
        <v>21</v>
      </c>
      <c r="L526" s="1"/>
      <c r="M526" s="1"/>
      <c r="N526" s="1"/>
      <c r="O526" s="1"/>
      <c r="P526" s="6" t="s">
        <v>21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21.75" hidden="false" customHeight="true" outlineLevel="0" collapsed="false">
      <c r="A527" s="4" t="n">
        <v>43480</v>
      </c>
      <c r="B527" s="14" t="s">
        <v>48</v>
      </c>
      <c r="C527" s="14" t="s">
        <v>15</v>
      </c>
      <c r="D527" s="14" t="s">
        <v>43</v>
      </c>
      <c r="E527" s="14" t="s">
        <v>109</v>
      </c>
      <c r="F527" s="14" t="s">
        <v>1526</v>
      </c>
      <c r="G527" s="14" t="n">
        <f aca="false">+593981610973</f>
        <v>593981610973</v>
      </c>
      <c r="H527" s="28" t="s">
        <v>1527</v>
      </c>
      <c r="I527" s="28"/>
      <c r="J527" s="14"/>
      <c r="K527" s="1" t="s">
        <v>21</v>
      </c>
      <c r="L527" s="1"/>
      <c r="M527" s="1"/>
      <c r="N527" s="1"/>
      <c r="O527" s="1"/>
      <c r="P527" s="6" t="s">
        <v>21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21.75" hidden="false" customHeight="true" outlineLevel="0" collapsed="false">
      <c r="A528" s="4" t="n">
        <v>43480</v>
      </c>
      <c r="B528" s="14" t="s">
        <v>48</v>
      </c>
      <c r="C528" s="14" t="s">
        <v>15</v>
      </c>
      <c r="D528" s="14" t="s">
        <v>43</v>
      </c>
      <c r="E528" s="14" t="s">
        <v>109</v>
      </c>
      <c r="F528" s="14" t="s">
        <v>1528</v>
      </c>
      <c r="G528" s="14" t="n">
        <f aca="false">+593994321006</f>
        <v>593994321006</v>
      </c>
      <c r="H528" s="28" t="s">
        <v>1529</v>
      </c>
      <c r="I528" s="28"/>
      <c r="J528" s="14"/>
      <c r="K528" s="1" t="s">
        <v>1530</v>
      </c>
      <c r="L528" s="1"/>
      <c r="M528" s="1"/>
      <c r="N528" s="1"/>
      <c r="O528" s="1"/>
      <c r="P528" s="6" t="s">
        <v>133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21.75" hidden="false" customHeight="true" outlineLevel="0" collapsed="false">
      <c r="A529" s="4" t="n">
        <v>43480</v>
      </c>
      <c r="B529" s="14" t="s">
        <v>48</v>
      </c>
      <c r="C529" s="14" t="s">
        <v>15</v>
      </c>
      <c r="D529" s="14" t="s">
        <v>43</v>
      </c>
      <c r="E529" s="14" t="s">
        <v>109</v>
      </c>
      <c r="F529" s="14" t="s">
        <v>1531</v>
      </c>
      <c r="G529" s="14" t="n">
        <f aca="false">+5930993206088</f>
        <v>5930993206088</v>
      </c>
      <c r="H529" s="28" t="s">
        <v>1532</v>
      </c>
      <c r="I529" s="28"/>
      <c r="J529" s="14"/>
      <c r="K529" s="1" t="s">
        <v>1533</v>
      </c>
      <c r="L529" s="1"/>
      <c r="M529" s="1"/>
      <c r="N529" s="1"/>
      <c r="O529" s="1"/>
      <c r="P529" s="6" t="s">
        <v>133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21.75" hidden="false" customHeight="true" outlineLevel="0" collapsed="false">
      <c r="A530" s="4" t="n">
        <v>43480</v>
      </c>
      <c r="B530" s="14" t="s">
        <v>48</v>
      </c>
      <c r="C530" s="14" t="s">
        <v>15</v>
      </c>
      <c r="D530" s="14" t="s">
        <v>43</v>
      </c>
      <c r="E530" s="14" t="s">
        <v>109</v>
      </c>
      <c r="F530" s="14" t="s">
        <v>1534</v>
      </c>
      <c r="G530" s="14" t="n">
        <f aca="false">+593998490196</f>
        <v>593998490196</v>
      </c>
      <c r="H530" s="28" t="s">
        <v>1535</v>
      </c>
      <c r="I530" s="28"/>
      <c r="J530" s="14"/>
      <c r="K530" s="1" t="s">
        <v>21</v>
      </c>
      <c r="L530" s="1"/>
      <c r="M530" s="1"/>
      <c r="N530" s="1"/>
      <c r="O530" s="1"/>
      <c r="P530" s="6" t="s">
        <v>21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21.75" hidden="false" customHeight="true" outlineLevel="0" collapsed="false">
      <c r="A531" s="4" t="n">
        <v>43480</v>
      </c>
      <c r="B531" s="14" t="s">
        <v>48</v>
      </c>
      <c r="C531" s="14" t="s">
        <v>15</v>
      </c>
      <c r="D531" s="14" t="s">
        <v>43</v>
      </c>
      <c r="E531" s="14" t="s">
        <v>109</v>
      </c>
      <c r="F531" s="14" t="s">
        <v>1536</v>
      </c>
      <c r="G531" s="14" t="n">
        <f aca="false">+593989502801</f>
        <v>593989502801</v>
      </c>
      <c r="H531" s="28" t="s">
        <v>1537</v>
      </c>
      <c r="I531" s="28"/>
      <c r="J531" s="14"/>
      <c r="K531" s="1" t="s">
        <v>21</v>
      </c>
      <c r="L531" s="1"/>
      <c r="M531" s="1"/>
      <c r="N531" s="1"/>
      <c r="O531" s="1"/>
      <c r="P531" s="6" t="s">
        <v>21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21.75" hidden="false" customHeight="true" outlineLevel="0" collapsed="false">
      <c r="A532" s="4" t="n">
        <v>43480</v>
      </c>
      <c r="B532" s="14" t="s">
        <v>48</v>
      </c>
      <c r="C532" s="14" t="s">
        <v>15</v>
      </c>
      <c r="D532" s="14" t="s">
        <v>43</v>
      </c>
      <c r="E532" s="14" t="s">
        <v>109</v>
      </c>
      <c r="F532" s="14" t="s">
        <v>1538</v>
      </c>
      <c r="G532" s="14" t="n">
        <f aca="false">+593980901251</f>
        <v>593980901251</v>
      </c>
      <c r="H532" s="28" t="s">
        <v>1539</v>
      </c>
      <c r="I532" s="28"/>
      <c r="J532" s="14"/>
      <c r="K532" s="1" t="s">
        <v>1540</v>
      </c>
      <c r="L532" s="1"/>
      <c r="M532" s="1"/>
      <c r="N532" s="1"/>
      <c r="O532" s="1"/>
      <c r="P532" s="6" t="s">
        <v>133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21.75" hidden="false" customHeight="true" outlineLevel="0" collapsed="false">
      <c r="A533" s="4" t="n">
        <v>43480</v>
      </c>
      <c r="B533" s="14" t="s">
        <v>48</v>
      </c>
      <c r="C533" s="14" t="s">
        <v>15</v>
      </c>
      <c r="D533" s="14" t="s">
        <v>43</v>
      </c>
      <c r="E533" s="14" t="s">
        <v>109</v>
      </c>
      <c r="F533" s="14" t="s">
        <v>1541</v>
      </c>
      <c r="G533" s="14" t="n">
        <f aca="false">+5930996466253</f>
        <v>5930996466253</v>
      </c>
      <c r="H533" s="28" t="s">
        <v>1542</v>
      </c>
      <c r="I533" s="28"/>
      <c r="J533" s="14"/>
      <c r="K533" s="1" t="s">
        <v>21</v>
      </c>
      <c r="L533" s="1"/>
      <c r="M533" s="1"/>
      <c r="N533" s="1"/>
      <c r="O533" s="1"/>
      <c r="P533" s="6" t="s">
        <v>21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21.75" hidden="false" customHeight="true" outlineLevel="0" collapsed="false">
      <c r="A534" s="4" t="n">
        <v>43480</v>
      </c>
      <c r="B534" s="14" t="s">
        <v>48</v>
      </c>
      <c r="C534" s="14" t="s">
        <v>15</v>
      </c>
      <c r="D534" s="14" t="s">
        <v>43</v>
      </c>
      <c r="E534" s="14" t="s">
        <v>109</v>
      </c>
      <c r="F534" s="14" t="s">
        <v>1543</v>
      </c>
      <c r="G534" s="14" t="n">
        <f aca="false">+5930991431595</f>
        <v>5930991431595</v>
      </c>
      <c r="H534" s="28" t="s">
        <v>1544</v>
      </c>
      <c r="I534" s="28"/>
      <c r="J534" s="14"/>
      <c r="K534" s="1" t="s">
        <v>345</v>
      </c>
      <c r="L534" s="1"/>
      <c r="M534" s="1"/>
      <c r="N534" s="1"/>
      <c r="O534" s="1"/>
      <c r="P534" s="6" t="s">
        <v>133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21.75" hidden="false" customHeight="true" outlineLevel="0" collapsed="false">
      <c r="A535" s="4" t="n">
        <v>43480</v>
      </c>
      <c r="B535" s="14" t="s">
        <v>48</v>
      </c>
      <c r="C535" s="14" t="s">
        <v>15</v>
      </c>
      <c r="D535" s="14" t="s">
        <v>43</v>
      </c>
      <c r="E535" s="14" t="s">
        <v>109</v>
      </c>
      <c r="F535" s="14" t="s">
        <v>1545</v>
      </c>
      <c r="G535" s="14" t="n">
        <f aca="false">+5930992672031</f>
        <v>5930992672031</v>
      </c>
      <c r="H535" s="28" t="s">
        <v>1546</v>
      </c>
      <c r="I535" s="28"/>
      <c r="J535" s="14"/>
      <c r="K535" s="1" t="s">
        <v>21</v>
      </c>
      <c r="L535" s="1"/>
      <c r="M535" s="1"/>
      <c r="N535" s="1"/>
      <c r="O535" s="1"/>
      <c r="P535" s="6" t="s">
        <v>21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21.75" hidden="false" customHeight="true" outlineLevel="0" collapsed="false">
      <c r="A536" s="4" t="n">
        <v>43480</v>
      </c>
      <c r="B536" s="14" t="s">
        <v>48</v>
      </c>
      <c r="C536" s="14" t="s">
        <v>15</v>
      </c>
      <c r="D536" s="14" t="s">
        <v>43</v>
      </c>
      <c r="E536" s="14" t="s">
        <v>109</v>
      </c>
      <c r="F536" s="14" t="s">
        <v>1547</v>
      </c>
      <c r="G536" s="14" t="n">
        <f aca="false">+593982792560</f>
        <v>593982792560</v>
      </c>
      <c r="H536" s="28" t="s">
        <v>1548</v>
      </c>
      <c r="I536" s="28"/>
      <c r="J536" s="14"/>
      <c r="K536" s="1" t="s">
        <v>21</v>
      </c>
      <c r="L536" s="1"/>
      <c r="M536" s="1"/>
      <c r="N536" s="1"/>
      <c r="O536" s="1"/>
      <c r="P536" s="6" t="s">
        <v>21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21.75" hidden="false" customHeight="true" outlineLevel="0" collapsed="false">
      <c r="A537" s="4" t="n">
        <v>43480</v>
      </c>
      <c r="B537" s="14" t="s">
        <v>48</v>
      </c>
      <c r="C537" s="14" t="s">
        <v>15</v>
      </c>
      <c r="D537" s="14" t="s">
        <v>43</v>
      </c>
      <c r="E537" s="14" t="s">
        <v>109</v>
      </c>
      <c r="F537" s="14" t="s">
        <v>1549</v>
      </c>
      <c r="G537" s="14" t="n">
        <f aca="false">+593989446378</f>
        <v>593989446378</v>
      </c>
      <c r="H537" s="28" t="s">
        <v>1550</v>
      </c>
      <c r="I537" s="28"/>
      <c r="J537" s="14"/>
      <c r="K537" s="1" t="s">
        <v>21</v>
      </c>
      <c r="L537" s="1"/>
      <c r="M537" s="1"/>
      <c r="N537" s="1"/>
      <c r="O537" s="1"/>
      <c r="P537" s="6" t="s">
        <v>21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21.75" hidden="false" customHeight="true" outlineLevel="0" collapsed="false">
      <c r="A538" s="4" t="n">
        <v>43480</v>
      </c>
      <c r="B538" s="14" t="s">
        <v>48</v>
      </c>
      <c r="C538" s="14" t="s">
        <v>15</v>
      </c>
      <c r="D538" s="14" t="s">
        <v>43</v>
      </c>
      <c r="E538" s="14" t="s">
        <v>109</v>
      </c>
      <c r="F538" s="14" t="s">
        <v>1551</v>
      </c>
      <c r="G538" s="14" t="n">
        <f aca="false">+593995765743</f>
        <v>593995765743</v>
      </c>
      <c r="H538" s="28" t="s">
        <v>1552</v>
      </c>
      <c r="I538" s="28"/>
      <c r="J538" s="14"/>
      <c r="K538" s="1" t="s">
        <v>263</v>
      </c>
      <c r="L538" s="1"/>
      <c r="M538" s="1"/>
      <c r="N538" s="1"/>
      <c r="O538" s="1"/>
      <c r="P538" s="6" t="s">
        <v>341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21.75" hidden="false" customHeight="true" outlineLevel="0" collapsed="false">
      <c r="A539" s="4" t="n">
        <v>43480</v>
      </c>
      <c r="B539" s="14" t="s">
        <v>48</v>
      </c>
      <c r="C539" s="14" t="s">
        <v>15</v>
      </c>
      <c r="D539" s="14" t="s">
        <v>43</v>
      </c>
      <c r="E539" s="14" t="s">
        <v>109</v>
      </c>
      <c r="F539" s="14" t="s">
        <v>1553</v>
      </c>
      <c r="G539" s="14" t="n">
        <f aca="false">+593980971130</f>
        <v>593980971130</v>
      </c>
      <c r="H539" s="28" t="s">
        <v>1554</v>
      </c>
      <c r="I539" s="28"/>
      <c r="J539" s="14"/>
      <c r="K539" s="1" t="s">
        <v>21</v>
      </c>
      <c r="L539" s="1"/>
      <c r="M539" s="1"/>
      <c r="N539" s="1"/>
      <c r="O539" s="1"/>
      <c r="P539" s="6" t="s">
        <v>21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21.75" hidden="false" customHeight="true" outlineLevel="0" collapsed="false">
      <c r="A540" s="4" t="n">
        <v>43480</v>
      </c>
      <c r="B540" s="18" t="s">
        <v>48</v>
      </c>
      <c r="C540" s="14" t="s">
        <v>15</v>
      </c>
      <c r="D540" s="14" t="s">
        <v>43</v>
      </c>
      <c r="E540" s="14" t="s">
        <v>109</v>
      </c>
      <c r="F540" s="19" t="s">
        <v>1555</v>
      </c>
      <c r="G540" s="18" t="n">
        <v>995408161</v>
      </c>
      <c r="H540" s="18" t="s">
        <v>1556</v>
      </c>
      <c r="I540" s="18"/>
      <c r="J540" s="1"/>
      <c r="K540" s="1" t="s">
        <v>21</v>
      </c>
      <c r="L540" s="1"/>
      <c r="M540" s="1"/>
      <c r="N540" s="1"/>
      <c r="O540" s="1"/>
      <c r="P540" s="6" t="s">
        <v>21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21.75" hidden="false" customHeight="true" outlineLevel="0" collapsed="false">
      <c r="A541" s="4" t="n">
        <v>43480</v>
      </c>
      <c r="B541" s="22" t="s">
        <v>48</v>
      </c>
      <c r="C541" s="23" t="s">
        <v>15</v>
      </c>
      <c r="D541" s="23" t="s">
        <v>43</v>
      </c>
      <c r="E541" s="14" t="s">
        <v>109</v>
      </c>
      <c r="F541" s="24" t="s">
        <v>1263</v>
      </c>
      <c r="G541" s="22" t="n">
        <v>998437435</v>
      </c>
      <c r="H541" s="29" t="s">
        <v>1264</v>
      </c>
      <c r="I541" s="26"/>
      <c r="J541" s="1"/>
      <c r="K541" s="1" t="s">
        <v>1557</v>
      </c>
      <c r="L541" s="1"/>
      <c r="M541" s="1"/>
      <c r="N541" s="1"/>
      <c r="O541" s="1"/>
      <c r="P541" s="6" t="s">
        <v>133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21.75" hidden="false" customHeight="true" outlineLevel="0" collapsed="false">
      <c r="A542" s="4" t="n">
        <v>43480</v>
      </c>
      <c r="B542" s="18" t="s">
        <v>48</v>
      </c>
      <c r="C542" s="14" t="s">
        <v>15</v>
      </c>
      <c r="D542" s="14" t="s">
        <v>43</v>
      </c>
      <c r="E542" s="14" t="s">
        <v>109</v>
      </c>
      <c r="F542" s="18" t="s">
        <v>1558</v>
      </c>
      <c r="G542" s="18" t="n">
        <v>990382668</v>
      </c>
      <c r="H542" s="26" t="s">
        <v>1559</v>
      </c>
      <c r="I542" s="26"/>
      <c r="J542" s="1"/>
      <c r="K542" s="1" t="s">
        <v>21</v>
      </c>
      <c r="L542" s="1"/>
      <c r="M542" s="1"/>
      <c r="N542" s="1"/>
      <c r="O542" s="1"/>
      <c r="P542" s="6" t="s">
        <v>21</v>
      </c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21.75" hidden="false" customHeight="true" outlineLevel="0" collapsed="false">
      <c r="A543" s="4" t="n">
        <v>43480</v>
      </c>
      <c r="B543" s="18" t="s">
        <v>48</v>
      </c>
      <c r="C543" s="14" t="s">
        <v>15</v>
      </c>
      <c r="D543" s="14" t="s">
        <v>43</v>
      </c>
      <c r="E543" s="14" t="s">
        <v>109</v>
      </c>
      <c r="F543" s="19" t="s">
        <v>1560</v>
      </c>
      <c r="G543" s="18" t="n">
        <v>939192039</v>
      </c>
      <c r="H543" s="18" t="s">
        <v>1561</v>
      </c>
      <c r="I543" s="18"/>
      <c r="J543" s="1"/>
      <c r="K543" s="1" t="s">
        <v>1562</v>
      </c>
      <c r="L543" s="1"/>
      <c r="M543" s="1"/>
      <c r="N543" s="1"/>
      <c r="O543" s="1"/>
      <c r="P543" s="6" t="s">
        <v>887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21.75" hidden="false" customHeight="true" outlineLevel="0" collapsed="false">
      <c r="A544" s="4" t="n">
        <v>43480</v>
      </c>
      <c r="B544" s="18" t="s">
        <v>48</v>
      </c>
      <c r="C544" s="14" t="s">
        <v>15</v>
      </c>
      <c r="D544" s="14" t="s">
        <v>43</v>
      </c>
      <c r="E544" s="14" t="s">
        <v>109</v>
      </c>
      <c r="F544" s="19" t="s">
        <v>1563</v>
      </c>
      <c r="G544" s="18" t="n">
        <v>997979314</v>
      </c>
      <c r="H544" s="18" t="s">
        <v>1564</v>
      </c>
      <c r="I544" s="18"/>
      <c r="J544" s="1"/>
      <c r="K544" s="1" t="s">
        <v>1565</v>
      </c>
      <c r="L544" s="1"/>
      <c r="M544" s="1"/>
      <c r="N544" s="1"/>
      <c r="O544" s="1"/>
      <c r="P544" s="6" t="s">
        <v>133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21.75" hidden="false" customHeight="true" outlineLevel="0" collapsed="false">
      <c r="A545" s="4" t="n">
        <v>43480</v>
      </c>
      <c r="B545" s="18" t="s">
        <v>48</v>
      </c>
      <c r="C545" s="14" t="s">
        <v>15</v>
      </c>
      <c r="D545" s="14" t="s">
        <v>43</v>
      </c>
      <c r="E545" s="14" t="s">
        <v>109</v>
      </c>
      <c r="F545" s="19" t="s">
        <v>1566</v>
      </c>
      <c r="G545" s="18" t="n">
        <v>993710345</v>
      </c>
      <c r="H545" s="18" t="s">
        <v>1567</v>
      </c>
      <c r="I545" s="18"/>
      <c r="J545" s="1"/>
      <c r="K545" s="1" t="s">
        <v>1568</v>
      </c>
      <c r="L545" s="1"/>
      <c r="M545" s="1"/>
      <c r="N545" s="1"/>
      <c r="O545" s="1"/>
      <c r="P545" s="6" t="s">
        <v>133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21.75" hidden="false" customHeight="true" outlineLevel="0" collapsed="false">
      <c r="A546" s="4" t="n">
        <v>43480</v>
      </c>
      <c r="B546" s="14" t="s">
        <v>48</v>
      </c>
      <c r="C546" s="14" t="s">
        <v>26</v>
      </c>
      <c r="D546" s="14" t="s">
        <v>43</v>
      </c>
      <c r="E546" s="14" t="s">
        <v>109</v>
      </c>
      <c r="F546" s="14" t="s">
        <v>1569</v>
      </c>
      <c r="G546" s="14" t="n">
        <f aca="false">+593969691207</f>
        <v>593969691207</v>
      </c>
      <c r="H546" s="14" t="s">
        <v>1570</v>
      </c>
      <c r="I546" s="14"/>
      <c r="J546" s="1"/>
      <c r="K546" s="1" t="s">
        <v>1540</v>
      </c>
      <c r="L546" s="1"/>
      <c r="M546" s="1"/>
      <c r="N546" s="1"/>
      <c r="O546" s="1"/>
      <c r="P546" s="6" t="s">
        <v>133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21.75" hidden="false" customHeight="true" outlineLevel="0" collapsed="false">
      <c r="A547" s="4" t="n">
        <v>43480</v>
      </c>
      <c r="B547" s="14" t="s">
        <v>48</v>
      </c>
      <c r="C547" s="14" t="s">
        <v>15</v>
      </c>
      <c r="D547" s="14" t="s">
        <v>43</v>
      </c>
      <c r="E547" s="14" t="s">
        <v>109</v>
      </c>
      <c r="F547" s="14" t="s">
        <v>1571</v>
      </c>
      <c r="G547" s="14" t="n">
        <f aca="false">+593980694098</f>
        <v>593980694098</v>
      </c>
      <c r="H547" s="14" t="s">
        <v>1572</v>
      </c>
      <c r="I547" s="14"/>
      <c r="J547" s="1"/>
      <c r="K547" s="1" t="s">
        <v>21</v>
      </c>
      <c r="L547" s="1"/>
      <c r="M547" s="1"/>
      <c r="N547" s="1"/>
      <c r="O547" s="1"/>
      <c r="P547" s="6" t="s">
        <v>21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21.75" hidden="false" customHeight="true" outlineLevel="0" collapsed="false">
      <c r="A548" s="4" t="n">
        <v>43480</v>
      </c>
      <c r="B548" s="14" t="s">
        <v>48</v>
      </c>
      <c r="C548" s="14" t="s">
        <v>15</v>
      </c>
      <c r="D548" s="14" t="s">
        <v>43</v>
      </c>
      <c r="E548" s="14" t="s">
        <v>109</v>
      </c>
      <c r="F548" s="14" t="s">
        <v>1573</v>
      </c>
      <c r="G548" s="14" t="n">
        <f aca="false">+593969376620</f>
        <v>593969376620</v>
      </c>
      <c r="H548" s="14" t="s">
        <v>1574</v>
      </c>
      <c r="I548" s="14"/>
      <c r="J548" s="1"/>
      <c r="K548" s="1" t="s">
        <v>21</v>
      </c>
      <c r="L548" s="1"/>
      <c r="M548" s="1"/>
      <c r="N548" s="1"/>
      <c r="O548" s="1"/>
      <c r="P548" s="6" t="s">
        <v>21</v>
      </c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21.75" hidden="false" customHeight="true" outlineLevel="0" collapsed="false">
      <c r="A549" s="4" t="n">
        <v>43480</v>
      </c>
      <c r="B549" s="14" t="s">
        <v>48</v>
      </c>
      <c r="C549" s="14" t="s">
        <v>15</v>
      </c>
      <c r="D549" s="14" t="s">
        <v>43</v>
      </c>
      <c r="E549" s="14" t="s">
        <v>109</v>
      </c>
      <c r="F549" s="14" t="s">
        <v>1575</v>
      </c>
      <c r="G549" s="14" t="n">
        <f aca="false">+593984558316</f>
        <v>593984558316</v>
      </c>
      <c r="H549" s="14" t="s">
        <v>1576</v>
      </c>
      <c r="I549" s="14"/>
      <c r="J549" s="1"/>
      <c r="K549" s="1" t="s">
        <v>21</v>
      </c>
      <c r="L549" s="1"/>
      <c r="M549" s="1"/>
      <c r="N549" s="1"/>
      <c r="O549" s="1"/>
      <c r="P549" s="6" t="s">
        <v>21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21.75" hidden="false" customHeight="true" outlineLevel="0" collapsed="false">
      <c r="A550" s="4" t="n">
        <v>43480</v>
      </c>
      <c r="B550" s="18" t="s">
        <v>48</v>
      </c>
      <c r="C550" s="14" t="s">
        <v>15</v>
      </c>
      <c r="D550" s="14" t="s">
        <v>43</v>
      </c>
      <c r="E550" s="14" t="s">
        <v>109</v>
      </c>
      <c r="F550" s="19" t="s">
        <v>1577</v>
      </c>
      <c r="G550" s="18" t="n">
        <v>993402744</v>
      </c>
      <c r="H550" s="18" t="s">
        <v>1578</v>
      </c>
      <c r="I550" s="18"/>
      <c r="J550" s="1"/>
      <c r="K550" s="1" t="s">
        <v>21</v>
      </c>
      <c r="L550" s="1"/>
      <c r="M550" s="1"/>
      <c r="N550" s="1"/>
      <c r="O550" s="1"/>
      <c r="P550" s="6" t="s">
        <v>21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21.75" hidden="false" customHeight="true" outlineLevel="0" collapsed="false">
      <c r="A551" s="4" t="n">
        <v>43480</v>
      </c>
      <c r="B551" s="14" t="s">
        <v>532</v>
      </c>
      <c r="C551" s="14" t="s">
        <v>15</v>
      </c>
      <c r="D551" s="14" t="s">
        <v>43</v>
      </c>
      <c r="E551" s="14" t="s">
        <v>109</v>
      </c>
      <c r="F551" s="14" t="s">
        <v>1579</v>
      </c>
      <c r="G551" s="14" t="n">
        <f aca="false">+593987605832</f>
        <v>593987605832</v>
      </c>
      <c r="H551" s="28" t="s">
        <v>1580</v>
      </c>
      <c r="I551" s="28"/>
      <c r="J551" s="14"/>
      <c r="K551" s="1" t="s">
        <v>620</v>
      </c>
      <c r="L551" s="1"/>
      <c r="M551" s="1"/>
      <c r="N551" s="1"/>
      <c r="O551" s="1"/>
      <c r="P551" s="6" t="s">
        <v>133</v>
      </c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21.75" hidden="false" customHeight="true" outlineLevel="0" collapsed="false">
      <c r="A552" s="4" t="n">
        <v>43480</v>
      </c>
      <c r="B552" s="14" t="s">
        <v>532</v>
      </c>
      <c r="C552" s="14" t="s">
        <v>15</v>
      </c>
      <c r="D552" s="14" t="s">
        <v>43</v>
      </c>
      <c r="E552" s="14" t="s">
        <v>109</v>
      </c>
      <c r="F552" s="14" t="s">
        <v>1581</v>
      </c>
      <c r="G552" s="14" t="n">
        <f aca="false">+593994963746</f>
        <v>593994963746</v>
      </c>
      <c r="H552" s="28" t="s">
        <v>1582</v>
      </c>
      <c r="I552" s="28"/>
      <c r="J552" s="14"/>
      <c r="K552" s="1" t="s">
        <v>21</v>
      </c>
      <c r="L552" s="1"/>
      <c r="M552" s="1"/>
      <c r="N552" s="1"/>
      <c r="O552" s="1"/>
      <c r="P552" s="6" t="s">
        <v>21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21.75" hidden="false" customHeight="true" outlineLevel="0" collapsed="false">
      <c r="A553" s="4" t="n">
        <v>43480</v>
      </c>
      <c r="B553" s="14" t="s">
        <v>532</v>
      </c>
      <c r="C553" s="14" t="s">
        <v>15</v>
      </c>
      <c r="D553" s="14" t="s">
        <v>43</v>
      </c>
      <c r="E553" s="14" t="s">
        <v>109</v>
      </c>
      <c r="F553" s="14" t="s">
        <v>1583</v>
      </c>
      <c r="G553" s="14" t="n">
        <f aca="false">+593988755999</f>
        <v>593988755999</v>
      </c>
      <c r="H553" s="28" t="s">
        <v>1584</v>
      </c>
      <c r="I553" s="28"/>
      <c r="J553" s="14"/>
      <c r="K553" s="1" t="s">
        <v>21</v>
      </c>
      <c r="L553" s="1"/>
      <c r="M553" s="1"/>
      <c r="N553" s="1"/>
      <c r="O553" s="1"/>
      <c r="P553" s="6" t="s">
        <v>21</v>
      </c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21.75" hidden="false" customHeight="true" outlineLevel="0" collapsed="false">
      <c r="A554" s="4" t="n">
        <v>43480</v>
      </c>
      <c r="B554" s="14" t="s">
        <v>532</v>
      </c>
      <c r="C554" s="14" t="s">
        <v>15</v>
      </c>
      <c r="D554" s="14" t="s">
        <v>43</v>
      </c>
      <c r="E554" s="14" t="s">
        <v>109</v>
      </c>
      <c r="F554" s="14" t="s">
        <v>1585</v>
      </c>
      <c r="G554" s="14" t="n">
        <v>960720544</v>
      </c>
      <c r="H554" s="28" t="s">
        <v>1586</v>
      </c>
      <c r="I554" s="28"/>
      <c r="J554" s="14"/>
      <c r="K554" s="1" t="s">
        <v>21</v>
      </c>
      <c r="L554" s="1"/>
      <c r="M554" s="1"/>
      <c r="N554" s="1"/>
      <c r="O554" s="1"/>
      <c r="P554" s="6" t="s">
        <v>21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21.75" hidden="false" customHeight="true" outlineLevel="0" collapsed="false">
      <c r="A555" s="4" t="n">
        <v>43480</v>
      </c>
      <c r="B555" s="14" t="s">
        <v>532</v>
      </c>
      <c r="C555" s="14" t="s">
        <v>15</v>
      </c>
      <c r="D555" s="14" t="s">
        <v>43</v>
      </c>
      <c r="E555" s="14" t="s">
        <v>109</v>
      </c>
      <c r="F555" s="14" t="s">
        <v>1587</v>
      </c>
      <c r="G555" s="14" t="n">
        <f aca="false">+593995240059</f>
        <v>593995240059</v>
      </c>
      <c r="H555" s="28" t="s">
        <v>1588</v>
      </c>
      <c r="I555" s="28"/>
      <c r="J555" s="14"/>
      <c r="K555" s="1" t="s">
        <v>1589</v>
      </c>
      <c r="L555" s="1"/>
      <c r="M555" s="1"/>
      <c r="N555" s="1"/>
      <c r="O555" s="1"/>
      <c r="P555" s="6" t="s">
        <v>341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21.75" hidden="false" customHeight="true" outlineLevel="0" collapsed="false">
      <c r="A556" s="4" t="n">
        <v>43480</v>
      </c>
      <c r="B556" s="14" t="s">
        <v>532</v>
      </c>
      <c r="C556" s="14" t="s">
        <v>15</v>
      </c>
      <c r="D556" s="14" t="s">
        <v>43</v>
      </c>
      <c r="E556" s="14" t="s">
        <v>109</v>
      </c>
      <c r="F556" s="14" t="s">
        <v>1590</v>
      </c>
      <c r="G556" s="14" t="n">
        <f aca="false">+593989367575</f>
        <v>593989367575</v>
      </c>
      <c r="H556" s="14" t="s">
        <v>1591</v>
      </c>
      <c r="I556" s="14"/>
      <c r="J556" s="1"/>
      <c r="K556" s="1" t="s">
        <v>21</v>
      </c>
      <c r="L556" s="1"/>
      <c r="M556" s="1"/>
      <c r="N556" s="1"/>
      <c r="O556" s="1"/>
      <c r="P556" s="6" t="s">
        <v>21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21.75" hidden="false" customHeight="true" outlineLevel="0" collapsed="false">
      <c r="A557" s="4" t="n">
        <v>43480</v>
      </c>
      <c r="B557" s="14" t="s">
        <v>532</v>
      </c>
      <c r="C557" s="14" t="s">
        <v>15</v>
      </c>
      <c r="D557" s="14" t="s">
        <v>43</v>
      </c>
      <c r="E557" s="14" t="s">
        <v>109</v>
      </c>
      <c r="F557" s="14" t="s">
        <v>1592</v>
      </c>
      <c r="G557" s="14" t="n">
        <f aca="false">+593979970248</f>
        <v>593979970248</v>
      </c>
      <c r="H557" s="14" t="s">
        <v>1593</v>
      </c>
      <c r="I557" s="14"/>
      <c r="J557" s="1"/>
      <c r="K557" s="1" t="s">
        <v>1594</v>
      </c>
      <c r="L557" s="1"/>
      <c r="M557" s="1"/>
      <c r="N557" s="1"/>
      <c r="O557" s="1"/>
      <c r="P557" s="6" t="s">
        <v>133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21.75" hidden="false" customHeight="true" outlineLevel="0" collapsed="false">
      <c r="A558" s="4" t="n">
        <v>43480</v>
      </c>
      <c r="B558" s="18" t="s">
        <v>127</v>
      </c>
      <c r="C558" s="14" t="s">
        <v>15</v>
      </c>
      <c r="D558" s="14" t="s">
        <v>43</v>
      </c>
      <c r="E558" s="14" t="s">
        <v>44</v>
      </c>
      <c r="F558" s="14" t="s">
        <v>1595</v>
      </c>
      <c r="G558" s="14" t="n">
        <f aca="false">+593984614601</f>
        <v>593984614601</v>
      </c>
      <c r="H558" s="28" t="s">
        <v>1596</v>
      </c>
      <c r="I558" s="28"/>
      <c r="J558" s="14"/>
      <c r="K558" s="1" t="s">
        <v>21</v>
      </c>
      <c r="L558" s="1"/>
      <c r="M558" s="1"/>
      <c r="N558" s="1"/>
      <c r="O558" s="1"/>
      <c r="P558" s="6" t="s">
        <v>21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21.75" hidden="false" customHeight="true" outlineLevel="0" collapsed="false">
      <c r="A559" s="4" t="n">
        <v>43480</v>
      </c>
      <c r="B559" s="18" t="s">
        <v>127</v>
      </c>
      <c r="C559" s="14" t="s">
        <v>15</v>
      </c>
      <c r="D559" s="14" t="s">
        <v>43</v>
      </c>
      <c r="E559" s="14" t="s">
        <v>44</v>
      </c>
      <c r="F559" s="14" t="s">
        <v>1597</v>
      </c>
      <c r="G559" s="14" t="n">
        <f aca="false">+593991680847</f>
        <v>593991680847</v>
      </c>
      <c r="H559" s="28" t="s">
        <v>1598</v>
      </c>
      <c r="I559" s="28"/>
      <c r="J559" s="14"/>
      <c r="K559" s="1" t="s">
        <v>1599</v>
      </c>
      <c r="L559" s="6" t="s">
        <v>1600</v>
      </c>
      <c r="M559" s="1"/>
      <c r="N559" s="1"/>
      <c r="O559" s="1"/>
      <c r="P559" s="6" t="s">
        <v>747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21.75" hidden="false" customHeight="true" outlineLevel="0" collapsed="false">
      <c r="A560" s="4" t="n">
        <v>43480</v>
      </c>
      <c r="B560" s="18" t="s">
        <v>127</v>
      </c>
      <c r="C560" s="14" t="s">
        <v>15</v>
      </c>
      <c r="D560" s="14" t="s">
        <v>43</v>
      </c>
      <c r="E560" s="14" t="s">
        <v>44</v>
      </c>
      <c r="F560" s="14" t="s">
        <v>1601</v>
      </c>
      <c r="G560" s="14" t="n">
        <f aca="false">+5930968495352</f>
        <v>5930968495352</v>
      </c>
      <c r="H560" s="28" t="s">
        <v>1602</v>
      </c>
      <c r="I560" s="28"/>
      <c r="J560" s="14"/>
      <c r="K560" s="1" t="s">
        <v>21</v>
      </c>
      <c r="L560" s="1"/>
      <c r="M560" s="1"/>
      <c r="N560" s="1"/>
      <c r="O560" s="1"/>
      <c r="P560" s="6" t="s">
        <v>21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21.75" hidden="false" customHeight="true" outlineLevel="0" collapsed="false">
      <c r="A561" s="4" t="n">
        <v>43480</v>
      </c>
      <c r="B561" s="18" t="s">
        <v>127</v>
      </c>
      <c r="C561" s="14" t="s">
        <v>15</v>
      </c>
      <c r="D561" s="14" t="s">
        <v>43</v>
      </c>
      <c r="E561" s="14" t="s">
        <v>44</v>
      </c>
      <c r="F561" s="14" t="s">
        <v>1603</v>
      </c>
      <c r="G561" s="14" t="n">
        <f aca="false">+593959945420</f>
        <v>593959945420</v>
      </c>
      <c r="H561" s="28" t="s">
        <v>1604</v>
      </c>
      <c r="I561" s="28"/>
      <c r="J561" s="14"/>
      <c r="K561" s="1" t="s">
        <v>21</v>
      </c>
      <c r="L561" s="1"/>
      <c r="M561" s="1"/>
      <c r="N561" s="1"/>
      <c r="O561" s="1"/>
      <c r="P561" s="6" t="s">
        <v>21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21.75" hidden="false" customHeight="true" outlineLevel="0" collapsed="false">
      <c r="A562" s="4" t="n">
        <v>43480</v>
      </c>
      <c r="B562" s="18" t="s">
        <v>127</v>
      </c>
      <c r="C562" s="14" t="s">
        <v>15</v>
      </c>
      <c r="D562" s="14" t="s">
        <v>43</v>
      </c>
      <c r="E562" s="14" t="s">
        <v>44</v>
      </c>
      <c r="F562" s="14" t="s">
        <v>1605</v>
      </c>
      <c r="G562" s="14" t="n">
        <f aca="false">+593958874744</f>
        <v>593958874744</v>
      </c>
      <c r="H562" s="14" t="s">
        <v>1606</v>
      </c>
      <c r="I562" s="14"/>
      <c r="J562" s="1"/>
      <c r="K562" s="1" t="s">
        <v>21</v>
      </c>
      <c r="L562" s="1"/>
      <c r="M562" s="1"/>
      <c r="N562" s="1"/>
      <c r="O562" s="1"/>
      <c r="P562" s="6" t="s">
        <v>21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21.75" hidden="false" customHeight="true" outlineLevel="0" collapsed="false">
      <c r="A563" s="4" t="n">
        <v>43480</v>
      </c>
      <c r="B563" s="18" t="s">
        <v>127</v>
      </c>
      <c r="C563" s="14" t="s">
        <v>15</v>
      </c>
      <c r="D563" s="14" t="s">
        <v>43</v>
      </c>
      <c r="E563" s="14" t="s">
        <v>44</v>
      </c>
      <c r="F563" s="14" t="s">
        <v>1412</v>
      </c>
      <c r="G563" s="14" t="n">
        <f aca="false">+593991505108</f>
        <v>593991505108</v>
      </c>
      <c r="H563" s="14" t="s">
        <v>1413</v>
      </c>
      <c r="I563" s="14"/>
      <c r="J563" s="1"/>
      <c r="K563" s="1" t="s">
        <v>428</v>
      </c>
      <c r="L563" s="1"/>
      <c r="M563" s="1"/>
      <c r="N563" s="1"/>
      <c r="O563" s="1"/>
      <c r="P563" s="6" t="s">
        <v>31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21.75" hidden="false" customHeight="true" outlineLevel="0" collapsed="false">
      <c r="A564" s="4" t="n">
        <v>43480</v>
      </c>
      <c r="B564" s="14" t="s">
        <v>127</v>
      </c>
      <c r="C564" s="14" t="s">
        <v>15</v>
      </c>
      <c r="D564" s="14" t="s">
        <v>43</v>
      </c>
      <c r="E564" s="14" t="s">
        <v>109</v>
      </c>
      <c r="F564" s="14" t="s">
        <v>1607</v>
      </c>
      <c r="G564" s="20" t="n">
        <v>593969315466</v>
      </c>
      <c r="H564" s="28" t="s">
        <v>1608</v>
      </c>
      <c r="I564" s="28"/>
      <c r="J564" s="14"/>
      <c r="K564" s="1" t="s">
        <v>21</v>
      </c>
      <c r="L564" s="1"/>
      <c r="M564" s="1"/>
      <c r="N564" s="1"/>
      <c r="O564" s="1"/>
      <c r="P564" s="6" t="s">
        <v>21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21.75" hidden="false" customHeight="true" outlineLevel="0" collapsed="false">
      <c r="A565" s="4" t="n">
        <v>43480</v>
      </c>
      <c r="B565" s="14" t="s">
        <v>127</v>
      </c>
      <c r="C565" s="14" t="s">
        <v>15</v>
      </c>
      <c r="D565" s="14" t="s">
        <v>43</v>
      </c>
      <c r="E565" s="14" t="s">
        <v>109</v>
      </c>
      <c r="F565" s="14" t="s">
        <v>1609</v>
      </c>
      <c r="G565" s="14" t="n">
        <f aca="false">+593969611963</f>
        <v>593969611963</v>
      </c>
      <c r="H565" s="28" t="s">
        <v>1610</v>
      </c>
      <c r="I565" s="28"/>
      <c r="J565" s="14"/>
      <c r="K565" s="1" t="s">
        <v>21</v>
      </c>
      <c r="L565" s="1"/>
      <c r="M565" s="1"/>
      <c r="N565" s="1"/>
      <c r="O565" s="1"/>
      <c r="P565" s="6" t="s">
        <v>21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21.75" hidden="false" customHeight="true" outlineLevel="0" collapsed="false">
      <c r="A566" s="4" t="n">
        <v>43480</v>
      </c>
      <c r="B566" s="14" t="s">
        <v>127</v>
      </c>
      <c r="C566" s="14" t="s">
        <v>15</v>
      </c>
      <c r="D566" s="14" t="s">
        <v>43</v>
      </c>
      <c r="E566" s="14" t="s">
        <v>109</v>
      </c>
      <c r="F566" s="14" t="s">
        <v>1611</v>
      </c>
      <c r="G566" s="14" t="n">
        <f aca="false">+570969685259</f>
        <v>570969685259</v>
      </c>
      <c r="H566" s="28" t="s">
        <v>1612</v>
      </c>
      <c r="I566" s="28"/>
      <c r="J566" s="14"/>
      <c r="K566" s="1" t="s">
        <v>21</v>
      </c>
      <c r="L566" s="1"/>
      <c r="M566" s="1"/>
      <c r="N566" s="1"/>
      <c r="O566" s="1"/>
      <c r="P566" s="6" t="s">
        <v>21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21.75" hidden="false" customHeight="true" outlineLevel="0" collapsed="false">
      <c r="A567" s="4" t="n">
        <v>43480</v>
      </c>
      <c r="B567" s="14" t="s">
        <v>127</v>
      </c>
      <c r="C567" s="14" t="s">
        <v>15</v>
      </c>
      <c r="D567" s="14" t="s">
        <v>43</v>
      </c>
      <c r="E567" s="14" t="s">
        <v>109</v>
      </c>
      <c r="F567" s="14" t="s">
        <v>1613</v>
      </c>
      <c r="G567" s="14" t="n">
        <f aca="false">+593993580805</f>
        <v>593993580805</v>
      </c>
      <c r="H567" s="28" t="s">
        <v>1614</v>
      </c>
      <c r="I567" s="28"/>
      <c r="J567" s="14"/>
      <c r="K567" s="1" t="s">
        <v>263</v>
      </c>
      <c r="L567" s="1"/>
      <c r="M567" s="1"/>
      <c r="N567" s="1"/>
      <c r="O567" s="1"/>
      <c r="P567" s="6" t="s">
        <v>341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21.75" hidden="false" customHeight="true" outlineLevel="0" collapsed="false">
      <c r="A568" s="4" t="n">
        <v>43480</v>
      </c>
      <c r="B568" s="18" t="s">
        <v>127</v>
      </c>
      <c r="C568" s="14" t="s">
        <v>15</v>
      </c>
      <c r="D568" s="14" t="s">
        <v>43</v>
      </c>
      <c r="E568" s="14" t="s">
        <v>109</v>
      </c>
      <c r="F568" s="19" t="s">
        <v>1615</v>
      </c>
      <c r="G568" s="18" t="n">
        <f aca="false">+593985688661</f>
        <v>593985688661</v>
      </c>
      <c r="H568" s="18" t="s">
        <v>1616</v>
      </c>
      <c r="I568" s="18"/>
      <c r="J568" s="1"/>
      <c r="K568" s="1" t="s">
        <v>1617</v>
      </c>
      <c r="L568" s="1"/>
      <c r="M568" s="1"/>
      <c r="N568" s="1"/>
      <c r="O568" s="1"/>
      <c r="P568" s="6" t="s">
        <v>133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21.75" hidden="false" customHeight="true" outlineLevel="0" collapsed="false">
      <c r="A569" s="4" t="n">
        <v>43480</v>
      </c>
      <c r="B569" s="18" t="s">
        <v>127</v>
      </c>
      <c r="C569" s="14" t="s">
        <v>15</v>
      </c>
      <c r="D569" s="14" t="s">
        <v>43</v>
      </c>
      <c r="E569" s="14" t="s">
        <v>109</v>
      </c>
      <c r="F569" s="19" t="s">
        <v>1618</v>
      </c>
      <c r="G569" s="18" t="n">
        <v>982720994</v>
      </c>
      <c r="H569" s="18" t="s">
        <v>1619</v>
      </c>
      <c r="I569" s="18"/>
      <c r="J569" s="1"/>
      <c r="K569" s="1" t="s">
        <v>1620</v>
      </c>
      <c r="L569" s="1"/>
      <c r="M569" s="1"/>
      <c r="N569" s="1"/>
      <c r="O569" s="1"/>
      <c r="P569" s="6" t="s">
        <v>133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21.75" hidden="false" customHeight="true" outlineLevel="0" collapsed="false">
      <c r="A570" s="4" t="n">
        <v>43480</v>
      </c>
      <c r="B570" s="14" t="s">
        <v>127</v>
      </c>
      <c r="C570" s="14" t="s">
        <v>15</v>
      </c>
      <c r="D570" s="14" t="s">
        <v>43</v>
      </c>
      <c r="E570" s="14" t="s">
        <v>109</v>
      </c>
      <c r="F570" s="14" t="s">
        <v>1621</v>
      </c>
      <c r="G570" s="14" t="n">
        <f aca="false">+5930959920987</f>
        <v>5930959920987</v>
      </c>
      <c r="H570" s="14" t="s">
        <v>1622</v>
      </c>
      <c r="I570" s="14"/>
      <c r="J570" s="1"/>
      <c r="K570" s="1" t="s">
        <v>21</v>
      </c>
      <c r="L570" s="1"/>
      <c r="M570" s="1"/>
      <c r="N570" s="1"/>
      <c r="O570" s="1"/>
      <c r="P570" s="6" t="s">
        <v>21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21.75" hidden="false" customHeight="true" outlineLevel="0" collapsed="false">
      <c r="A571" s="4" t="n">
        <v>43480</v>
      </c>
      <c r="B571" s="14" t="s">
        <v>127</v>
      </c>
      <c r="C571" s="14" t="s">
        <v>15</v>
      </c>
      <c r="D571" s="14" t="s">
        <v>43</v>
      </c>
      <c r="E571" s="14" t="s">
        <v>109</v>
      </c>
      <c r="F571" s="14" t="s">
        <v>1623</v>
      </c>
      <c r="G571" s="14" t="n">
        <f aca="false">+593988011671</f>
        <v>593988011671</v>
      </c>
      <c r="H571" s="14" t="s">
        <v>1624</v>
      </c>
      <c r="I571" s="14"/>
      <c r="J571" s="1"/>
      <c r="K571" s="1" t="s">
        <v>1144</v>
      </c>
      <c r="L571" s="1"/>
      <c r="M571" s="1"/>
      <c r="N571" s="1"/>
      <c r="O571" s="1"/>
      <c r="P571" s="6" t="s">
        <v>133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21.75" hidden="false" customHeight="true" outlineLevel="0" collapsed="false">
      <c r="A572" s="4" t="n">
        <v>43480</v>
      </c>
      <c r="B572" s="14" t="s">
        <v>127</v>
      </c>
      <c r="C572" s="14" t="s">
        <v>15</v>
      </c>
      <c r="D572" s="14" t="s">
        <v>43</v>
      </c>
      <c r="E572" s="14" t="s">
        <v>109</v>
      </c>
      <c r="F572" s="14" t="s">
        <v>1625</v>
      </c>
      <c r="G572" s="14" t="n">
        <f aca="false">+593969612685</f>
        <v>593969612685</v>
      </c>
      <c r="H572" s="14" t="s">
        <v>1626</v>
      </c>
      <c r="I572" s="14"/>
      <c r="J572" s="1"/>
      <c r="K572" s="1" t="s">
        <v>21</v>
      </c>
      <c r="L572" s="1"/>
      <c r="M572" s="1"/>
      <c r="N572" s="1"/>
      <c r="O572" s="1"/>
      <c r="P572" s="6" t="s">
        <v>21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21.75" hidden="false" customHeight="true" outlineLevel="0" collapsed="false">
      <c r="A573" s="4" t="n">
        <v>43480</v>
      </c>
      <c r="B573" s="18" t="s">
        <v>964</v>
      </c>
      <c r="C573" s="14" t="s">
        <v>15</v>
      </c>
      <c r="D573" s="14" t="s">
        <v>43</v>
      </c>
      <c r="E573" s="8" t="s">
        <v>17</v>
      </c>
      <c r="F573" s="19" t="s">
        <v>1627</v>
      </c>
      <c r="G573" s="18" t="n">
        <v>968445450</v>
      </c>
      <c r="H573" s="18" t="s">
        <v>1628</v>
      </c>
      <c r="I573" s="18"/>
      <c r="J573" s="1"/>
      <c r="K573" s="1" t="s">
        <v>1629</v>
      </c>
      <c r="L573" s="1"/>
      <c r="M573" s="1"/>
      <c r="N573" s="1"/>
      <c r="O573" s="1"/>
      <c r="P573" s="6" t="s">
        <v>133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21.75" hidden="false" customHeight="true" outlineLevel="0" collapsed="false">
      <c r="A574" s="4" t="n">
        <v>43480</v>
      </c>
      <c r="B574" s="14" t="s">
        <v>1114</v>
      </c>
      <c r="C574" s="14" t="s">
        <v>15</v>
      </c>
      <c r="D574" s="14" t="s">
        <v>43</v>
      </c>
      <c r="E574" s="14" t="s">
        <v>109</v>
      </c>
      <c r="F574" s="14" t="s">
        <v>1630</v>
      </c>
      <c r="G574" s="14" t="n">
        <f aca="false">+5930986578364</f>
        <v>5930986578364</v>
      </c>
      <c r="H574" s="28" t="s">
        <v>1631</v>
      </c>
      <c r="I574" s="28"/>
      <c r="J574" s="14"/>
      <c r="K574" s="1" t="s">
        <v>1632</v>
      </c>
      <c r="L574" s="1"/>
      <c r="M574" s="1"/>
      <c r="N574" s="1"/>
      <c r="O574" s="1"/>
      <c r="P574" s="6" t="s">
        <v>133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21.75" hidden="false" customHeight="true" outlineLevel="0" collapsed="false">
      <c r="A575" s="4" t="n">
        <v>43480</v>
      </c>
      <c r="B575" s="14" t="s">
        <v>1114</v>
      </c>
      <c r="C575" s="14" t="s">
        <v>15</v>
      </c>
      <c r="D575" s="14" t="s">
        <v>43</v>
      </c>
      <c r="E575" s="14" t="s">
        <v>109</v>
      </c>
      <c r="F575" s="14" t="s">
        <v>1633</v>
      </c>
      <c r="G575" s="14" t="n">
        <f aca="false">+5930997745591</f>
        <v>5930997745591</v>
      </c>
      <c r="H575" s="28" t="s">
        <v>1634</v>
      </c>
      <c r="I575" s="28"/>
      <c r="J575" s="14"/>
      <c r="K575" s="1" t="s">
        <v>21</v>
      </c>
      <c r="L575" s="1"/>
      <c r="M575" s="1"/>
      <c r="N575" s="1"/>
      <c r="O575" s="1"/>
      <c r="P575" s="6" t="s">
        <v>21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21.75" hidden="false" customHeight="true" outlineLevel="0" collapsed="false">
      <c r="A576" s="4" t="n">
        <v>43480</v>
      </c>
      <c r="B576" s="14" t="s">
        <v>1114</v>
      </c>
      <c r="C576" s="14" t="s">
        <v>15</v>
      </c>
      <c r="D576" s="14" t="s">
        <v>43</v>
      </c>
      <c r="E576" s="14" t="s">
        <v>109</v>
      </c>
      <c r="F576" s="14" t="s">
        <v>1635</v>
      </c>
      <c r="G576" s="14" t="n">
        <f aca="false">+593969009193</f>
        <v>593969009193</v>
      </c>
      <c r="H576" s="28" t="s">
        <v>1636</v>
      </c>
      <c r="I576" s="28"/>
      <c r="J576" s="14"/>
      <c r="K576" s="1" t="s">
        <v>21</v>
      </c>
      <c r="L576" s="1"/>
      <c r="M576" s="1"/>
      <c r="N576" s="1"/>
      <c r="O576" s="1"/>
      <c r="P576" s="6" t="s">
        <v>21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21.75" hidden="false" customHeight="true" outlineLevel="0" collapsed="false">
      <c r="A577" s="4" t="n">
        <v>43480</v>
      </c>
      <c r="B577" s="14" t="s">
        <v>1114</v>
      </c>
      <c r="C577" s="14" t="s">
        <v>26</v>
      </c>
      <c r="D577" s="14" t="s">
        <v>43</v>
      </c>
      <c r="E577" s="14" t="s">
        <v>109</v>
      </c>
      <c r="F577" s="14" t="s">
        <v>1637</v>
      </c>
      <c r="G577" s="14" t="n">
        <f aca="false">+5930983606211</f>
        <v>5930983606211</v>
      </c>
      <c r="H577" s="28" t="s">
        <v>1638</v>
      </c>
      <c r="I577" s="28"/>
      <c r="J577" s="14"/>
      <c r="K577" s="1" t="s">
        <v>21</v>
      </c>
      <c r="L577" s="1"/>
      <c r="M577" s="1"/>
      <c r="N577" s="1"/>
      <c r="O577" s="1"/>
      <c r="P577" s="6" t="s">
        <v>21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21.75" hidden="false" customHeight="true" outlineLevel="0" collapsed="false">
      <c r="A578" s="4" t="n">
        <v>43480</v>
      </c>
      <c r="B578" s="14" t="s">
        <v>1114</v>
      </c>
      <c r="C578" s="14" t="s">
        <v>15</v>
      </c>
      <c r="D578" s="14" t="s">
        <v>43</v>
      </c>
      <c r="E578" s="14" t="s">
        <v>109</v>
      </c>
      <c r="F578" s="14" t="s">
        <v>1639</v>
      </c>
      <c r="G578" s="14" t="n">
        <f aca="false">+59372422195</f>
        <v>59372422195</v>
      </c>
      <c r="H578" s="28" t="s">
        <v>1640</v>
      </c>
      <c r="I578" s="28"/>
      <c r="J578" s="14"/>
      <c r="K578" s="1" t="s">
        <v>21</v>
      </c>
      <c r="L578" s="1"/>
      <c r="M578" s="1"/>
      <c r="N578" s="1"/>
      <c r="O578" s="1"/>
      <c r="P578" s="6" t="s">
        <v>21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21.75" hidden="false" customHeight="true" outlineLevel="0" collapsed="false">
      <c r="A579" s="4" t="n">
        <v>43480</v>
      </c>
      <c r="B579" s="14" t="s">
        <v>1114</v>
      </c>
      <c r="C579" s="14" t="s">
        <v>26</v>
      </c>
      <c r="D579" s="14" t="s">
        <v>43</v>
      </c>
      <c r="E579" s="14" t="s">
        <v>109</v>
      </c>
      <c r="F579" s="14" t="s">
        <v>1641</v>
      </c>
      <c r="G579" s="14" t="n">
        <f aca="false">+593968236338</f>
        <v>593968236338</v>
      </c>
      <c r="H579" s="28" t="s">
        <v>1642</v>
      </c>
      <c r="I579" s="28"/>
      <c r="J579" s="14"/>
      <c r="K579" s="1" t="s">
        <v>1643</v>
      </c>
      <c r="L579" s="1" t="s">
        <v>21</v>
      </c>
      <c r="M579" s="1"/>
      <c r="N579" s="1"/>
      <c r="O579" s="1"/>
      <c r="P579" s="6" t="s">
        <v>133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21.75" hidden="false" customHeight="true" outlineLevel="0" collapsed="false">
      <c r="A580" s="4" t="n">
        <v>43480</v>
      </c>
      <c r="B580" s="14" t="s">
        <v>1114</v>
      </c>
      <c r="C580" s="14" t="s">
        <v>15</v>
      </c>
      <c r="D580" s="14" t="s">
        <v>43</v>
      </c>
      <c r="E580" s="14" t="s">
        <v>109</v>
      </c>
      <c r="F580" s="14" t="s">
        <v>1644</v>
      </c>
      <c r="G580" s="14" t="n">
        <f aca="false">+593967284981</f>
        <v>593967284981</v>
      </c>
      <c r="H580" s="28" t="s">
        <v>1645</v>
      </c>
      <c r="I580" s="28"/>
      <c r="J580" s="14"/>
      <c r="K580" s="1" t="s">
        <v>21</v>
      </c>
      <c r="L580" s="1"/>
      <c r="M580" s="1"/>
      <c r="N580" s="1"/>
      <c r="O580" s="1"/>
      <c r="P580" s="6" t="s">
        <v>21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21.75" hidden="false" customHeight="true" outlineLevel="0" collapsed="false">
      <c r="A581" s="4" t="n">
        <v>43480</v>
      </c>
      <c r="B581" s="14" t="s">
        <v>1114</v>
      </c>
      <c r="C581" s="14" t="s">
        <v>15</v>
      </c>
      <c r="D581" s="14" t="s">
        <v>43</v>
      </c>
      <c r="E581" s="14" t="s">
        <v>109</v>
      </c>
      <c r="F581" s="14" t="s">
        <v>1646</v>
      </c>
      <c r="G581" s="14" t="n">
        <f aca="false">+593997956960</f>
        <v>593997956960</v>
      </c>
      <c r="H581" s="28" t="s">
        <v>1647</v>
      </c>
      <c r="I581" s="28"/>
      <c r="J581" s="14"/>
      <c r="K581" s="1" t="s">
        <v>21</v>
      </c>
      <c r="L581" s="1"/>
      <c r="M581" s="1"/>
      <c r="N581" s="1"/>
      <c r="O581" s="1"/>
      <c r="P581" s="6" t="s">
        <v>21</v>
      </c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21.75" hidden="false" customHeight="true" outlineLevel="0" collapsed="false">
      <c r="A582" s="4" t="n">
        <v>43480</v>
      </c>
      <c r="B582" s="14" t="s">
        <v>1114</v>
      </c>
      <c r="C582" s="14" t="s">
        <v>15</v>
      </c>
      <c r="D582" s="14" t="s">
        <v>43</v>
      </c>
      <c r="E582" s="14" t="s">
        <v>109</v>
      </c>
      <c r="F582" s="14" t="s">
        <v>1648</v>
      </c>
      <c r="G582" s="14" t="n">
        <f aca="false">+593989391402</f>
        <v>593989391402</v>
      </c>
      <c r="H582" s="28" t="s">
        <v>1649</v>
      </c>
      <c r="I582" s="28"/>
      <c r="J582" s="14"/>
      <c r="K582" s="1" t="s">
        <v>21</v>
      </c>
      <c r="L582" s="1"/>
      <c r="M582" s="1"/>
      <c r="N582" s="1"/>
      <c r="O582" s="1"/>
      <c r="P582" s="6" t="s">
        <v>21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21.75" hidden="false" customHeight="true" outlineLevel="0" collapsed="false">
      <c r="A583" s="4" t="n">
        <v>43480</v>
      </c>
      <c r="B583" s="14" t="s">
        <v>1114</v>
      </c>
      <c r="C583" s="14" t="s">
        <v>15</v>
      </c>
      <c r="D583" s="14" t="s">
        <v>43</v>
      </c>
      <c r="E583" s="14" t="s">
        <v>109</v>
      </c>
      <c r="F583" s="14" t="s">
        <v>1650</v>
      </c>
      <c r="G583" s="20" t="n">
        <v>5930981955125</v>
      </c>
      <c r="H583" s="14" t="s">
        <v>1651</v>
      </c>
      <c r="I583" s="14"/>
      <c r="J583" s="1"/>
      <c r="K583" s="20" t="s">
        <v>1652</v>
      </c>
      <c r="L583" s="1"/>
      <c r="M583" s="1"/>
      <c r="N583" s="1"/>
      <c r="O583" s="1"/>
      <c r="P583" s="6" t="s">
        <v>133</v>
      </c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21.75" hidden="false" customHeight="true" outlineLevel="0" collapsed="false">
      <c r="A584" s="4" t="n">
        <v>43480</v>
      </c>
      <c r="B584" s="14" t="s">
        <v>1114</v>
      </c>
      <c r="C584" s="14" t="s">
        <v>15</v>
      </c>
      <c r="D584" s="14" t="s">
        <v>43</v>
      </c>
      <c r="E584" s="14" t="s">
        <v>109</v>
      </c>
      <c r="F584" s="14" t="s">
        <v>1653</v>
      </c>
      <c r="G584" s="14" t="n">
        <v>987782084</v>
      </c>
      <c r="H584" s="14" t="s">
        <v>1654</v>
      </c>
      <c r="I584" s="14"/>
      <c r="J584" s="1"/>
      <c r="K584" s="1" t="s">
        <v>21</v>
      </c>
      <c r="L584" s="1"/>
      <c r="M584" s="1"/>
      <c r="N584" s="1"/>
      <c r="O584" s="1"/>
      <c r="P584" s="6" t="s">
        <v>21</v>
      </c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21.75" hidden="false" customHeight="true" outlineLevel="0" collapsed="false">
      <c r="A585" s="4" t="n">
        <v>43480</v>
      </c>
      <c r="B585" s="14" t="s">
        <v>1114</v>
      </c>
      <c r="C585" s="14" t="s">
        <v>15</v>
      </c>
      <c r="D585" s="14" t="s">
        <v>43</v>
      </c>
      <c r="E585" s="14" t="s">
        <v>109</v>
      </c>
      <c r="F585" s="14" t="s">
        <v>1655</v>
      </c>
      <c r="G585" s="14" t="n">
        <f aca="false">+5930991162265</f>
        <v>5930991162265</v>
      </c>
      <c r="H585" s="14" t="s">
        <v>1656</v>
      </c>
      <c r="I585" s="14"/>
      <c r="J585" s="1"/>
      <c r="K585" s="1" t="s">
        <v>21</v>
      </c>
      <c r="L585" s="1"/>
      <c r="M585" s="1"/>
      <c r="N585" s="1"/>
      <c r="O585" s="1"/>
      <c r="P585" s="6" t="s">
        <v>21</v>
      </c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21.75" hidden="false" customHeight="true" outlineLevel="0" collapsed="false">
      <c r="A586" s="4" t="n">
        <v>43480</v>
      </c>
      <c r="B586" s="14" t="s">
        <v>1114</v>
      </c>
      <c r="C586" s="14" t="s">
        <v>15</v>
      </c>
      <c r="D586" s="14" t="s">
        <v>43</v>
      </c>
      <c r="E586" s="14" t="s">
        <v>109</v>
      </c>
      <c r="F586" s="14" t="s">
        <v>1657</v>
      </c>
      <c r="G586" s="14" t="n">
        <f aca="false">+5930980691179</f>
        <v>5930980691179</v>
      </c>
      <c r="H586" s="14" t="s">
        <v>1658</v>
      </c>
      <c r="I586" s="14"/>
      <c r="J586" s="1"/>
      <c r="K586" s="1" t="s">
        <v>1659</v>
      </c>
      <c r="L586" s="1"/>
      <c r="M586" s="1"/>
      <c r="N586" s="1"/>
      <c r="O586" s="1"/>
      <c r="P586" s="6" t="s">
        <v>31</v>
      </c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21.75" hidden="false" customHeight="true" outlineLevel="0" collapsed="false">
      <c r="A587" s="4" t="n">
        <v>43480</v>
      </c>
      <c r="B587" s="14" t="s">
        <v>1114</v>
      </c>
      <c r="C587" s="14" t="s">
        <v>15</v>
      </c>
      <c r="D587" s="14" t="s">
        <v>43</v>
      </c>
      <c r="E587" s="14" t="s">
        <v>109</v>
      </c>
      <c r="F587" s="14" t="s">
        <v>1660</v>
      </c>
      <c r="G587" s="14" t="n">
        <f aca="false">+593986257595</f>
        <v>593986257595</v>
      </c>
      <c r="H587" s="14" t="s">
        <v>1661</v>
      </c>
      <c r="I587" s="14"/>
      <c r="J587" s="1"/>
      <c r="K587" s="1" t="s">
        <v>1662</v>
      </c>
      <c r="L587" s="1"/>
      <c r="M587" s="1"/>
      <c r="N587" s="1"/>
      <c r="O587" s="1"/>
      <c r="P587" s="6" t="s">
        <v>133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21.75" hidden="false" customHeight="true" outlineLevel="0" collapsed="false">
      <c r="A588" s="4" t="n">
        <v>43480</v>
      </c>
      <c r="B588" s="14" t="s">
        <v>1114</v>
      </c>
      <c r="C588" s="14" t="s">
        <v>15</v>
      </c>
      <c r="D588" s="14" t="s">
        <v>43</v>
      </c>
      <c r="E588" s="14" t="s">
        <v>109</v>
      </c>
      <c r="F588" s="14" t="s">
        <v>1663</v>
      </c>
      <c r="G588" s="14" t="n">
        <f aca="false">+5930980513457</f>
        <v>5930980513457</v>
      </c>
      <c r="H588" s="14" t="s">
        <v>1664</v>
      </c>
      <c r="I588" s="14"/>
      <c r="J588" s="1"/>
      <c r="K588" s="1" t="s">
        <v>21</v>
      </c>
      <c r="L588" s="1"/>
      <c r="M588" s="1"/>
      <c r="N588" s="1"/>
      <c r="O588" s="1"/>
      <c r="P588" s="6" t="s">
        <v>21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21.75" hidden="false" customHeight="true" outlineLevel="0" collapsed="false">
      <c r="A589" s="4" t="n">
        <v>43480</v>
      </c>
      <c r="B589" s="14" t="s">
        <v>1114</v>
      </c>
      <c r="C589" s="14" t="s">
        <v>15</v>
      </c>
      <c r="D589" s="14" t="s">
        <v>43</v>
      </c>
      <c r="E589" s="14" t="s">
        <v>109</v>
      </c>
      <c r="F589" s="14" t="s">
        <v>1665</v>
      </c>
      <c r="G589" s="14" t="n">
        <f aca="false">+593979103859</f>
        <v>593979103859</v>
      </c>
      <c r="H589" s="14" t="s">
        <v>1666</v>
      </c>
      <c r="I589" s="14"/>
      <c r="J589" s="1"/>
      <c r="K589" s="1" t="s">
        <v>1667</v>
      </c>
      <c r="L589" s="1"/>
      <c r="M589" s="1"/>
      <c r="N589" s="1"/>
      <c r="O589" s="1"/>
      <c r="P589" s="6" t="s">
        <v>133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21.75" hidden="false" customHeight="true" outlineLevel="0" collapsed="false">
      <c r="A590" s="4" t="n">
        <v>43480</v>
      </c>
      <c r="B590" s="18" t="s">
        <v>1114</v>
      </c>
      <c r="C590" s="14" t="s">
        <v>15</v>
      </c>
      <c r="D590" s="14" t="s">
        <v>43</v>
      </c>
      <c r="E590" s="14" t="s">
        <v>109</v>
      </c>
      <c r="F590" s="19" t="s">
        <v>1668</v>
      </c>
      <c r="G590" s="18" t="n">
        <v>987797006</v>
      </c>
      <c r="H590" s="18" t="s">
        <v>1669</v>
      </c>
      <c r="I590" s="18"/>
      <c r="J590" s="1"/>
      <c r="K590" s="1" t="s">
        <v>1670</v>
      </c>
      <c r="L590" s="1"/>
      <c r="M590" s="1"/>
      <c r="N590" s="1"/>
      <c r="O590" s="1"/>
      <c r="P590" s="6" t="s">
        <v>126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21.75" hidden="false" customHeight="true" outlineLevel="0" collapsed="false">
      <c r="A591" s="4" t="n">
        <v>43480</v>
      </c>
      <c r="B591" s="18" t="s">
        <v>415</v>
      </c>
      <c r="C591" s="14" t="s">
        <v>15</v>
      </c>
      <c r="D591" s="14" t="s">
        <v>43</v>
      </c>
      <c r="E591" s="14" t="s">
        <v>44</v>
      </c>
      <c r="F591" s="14" t="s">
        <v>1671</v>
      </c>
      <c r="G591" s="14" t="n">
        <f aca="false">+593988986563</f>
        <v>593988986563</v>
      </c>
      <c r="H591" s="28" t="s">
        <v>1672</v>
      </c>
      <c r="I591" s="28"/>
      <c r="J591" s="14"/>
      <c r="K591" s="1" t="s">
        <v>21</v>
      </c>
      <c r="L591" s="1"/>
      <c r="M591" s="1"/>
      <c r="N591" s="1"/>
      <c r="O591" s="1"/>
      <c r="P591" s="6" t="s">
        <v>21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21.75" hidden="false" customHeight="true" outlineLevel="0" collapsed="false">
      <c r="A592" s="4" t="n">
        <v>43480</v>
      </c>
      <c r="B592" s="18" t="s">
        <v>415</v>
      </c>
      <c r="C592" s="14" t="s">
        <v>15</v>
      </c>
      <c r="D592" s="14" t="s">
        <v>43</v>
      </c>
      <c r="E592" s="14" t="s">
        <v>44</v>
      </c>
      <c r="F592" s="14" t="s">
        <v>1673</v>
      </c>
      <c r="G592" s="14" t="n">
        <f aca="false">+593982081638</f>
        <v>593982081638</v>
      </c>
      <c r="H592" s="28" t="s">
        <v>1674</v>
      </c>
      <c r="I592" s="28"/>
      <c r="J592" s="14"/>
      <c r="K592" s="1" t="s">
        <v>21</v>
      </c>
      <c r="L592" s="1"/>
      <c r="M592" s="1"/>
      <c r="N592" s="1"/>
      <c r="O592" s="1"/>
      <c r="P592" s="6" t="s">
        <v>21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21.75" hidden="false" customHeight="true" outlineLevel="0" collapsed="false">
      <c r="A593" s="4" t="n">
        <v>43480</v>
      </c>
      <c r="B593" s="18" t="s">
        <v>415</v>
      </c>
      <c r="C593" s="14" t="s">
        <v>15</v>
      </c>
      <c r="D593" s="14" t="s">
        <v>43</v>
      </c>
      <c r="E593" s="14" t="s">
        <v>44</v>
      </c>
      <c r="F593" s="14" t="s">
        <v>1675</v>
      </c>
      <c r="G593" s="14" t="n">
        <f aca="false">+593994684680</f>
        <v>593994684680</v>
      </c>
      <c r="H593" s="28" t="s">
        <v>1676</v>
      </c>
      <c r="I593" s="28"/>
      <c r="J593" s="14"/>
      <c r="K593" s="1" t="s">
        <v>21</v>
      </c>
      <c r="L593" s="1"/>
      <c r="M593" s="1"/>
      <c r="N593" s="1"/>
      <c r="O593" s="1"/>
      <c r="P593" s="6" t="s">
        <v>21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21.75" hidden="false" customHeight="true" outlineLevel="0" collapsed="false">
      <c r="A594" s="4" t="n">
        <v>43480</v>
      </c>
      <c r="B594" s="18" t="s">
        <v>415</v>
      </c>
      <c r="C594" s="14" t="s">
        <v>15</v>
      </c>
      <c r="D594" s="14" t="s">
        <v>43</v>
      </c>
      <c r="E594" s="14" t="s">
        <v>44</v>
      </c>
      <c r="F594" s="14" t="s">
        <v>1677</v>
      </c>
      <c r="G594" s="14" t="n">
        <f aca="false">+593985343015</f>
        <v>593985343015</v>
      </c>
      <c r="H594" s="28" t="s">
        <v>1678</v>
      </c>
      <c r="I594" s="28"/>
      <c r="J594" s="14"/>
      <c r="K594" s="1" t="s">
        <v>21</v>
      </c>
      <c r="L594" s="1"/>
      <c r="M594" s="1"/>
      <c r="N594" s="1"/>
      <c r="O594" s="1"/>
      <c r="P594" s="6" t="s">
        <v>21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21.75" hidden="false" customHeight="true" outlineLevel="0" collapsed="false">
      <c r="A595" s="4" t="n">
        <v>43480</v>
      </c>
      <c r="B595" s="18" t="s">
        <v>415</v>
      </c>
      <c r="C595" s="14" t="s">
        <v>26</v>
      </c>
      <c r="D595" s="14" t="s">
        <v>43</v>
      </c>
      <c r="E595" s="14" t="s">
        <v>44</v>
      </c>
      <c r="F595" s="14" t="s">
        <v>1679</v>
      </c>
      <c r="G595" s="14" t="n">
        <f aca="false">+593991378705</f>
        <v>593991378705</v>
      </c>
      <c r="H595" s="14" t="s">
        <v>1680</v>
      </c>
      <c r="I595" s="14"/>
      <c r="J595" s="1"/>
      <c r="K595" s="1" t="s">
        <v>1681</v>
      </c>
      <c r="L595" s="1"/>
      <c r="M595" s="1"/>
      <c r="N595" s="1"/>
      <c r="O595" s="1"/>
      <c r="P595" s="6" t="s">
        <v>31</v>
      </c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21.75" hidden="false" customHeight="true" outlineLevel="0" collapsed="false">
      <c r="A596" s="4" t="n">
        <v>43480</v>
      </c>
      <c r="B596" s="14" t="s">
        <v>415</v>
      </c>
      <c r="C596" s="14" t="s">
        <v>15</v>
      </c>
      <c r="D596" s="14" t="s">
        <v>43</v>
      </c>
      <c r="E596" s="14" t="s">
        <v>109</v>
      </c>
      <c r="F596" s="14" t="s">
        <v>1682</v>
      </c>
      <c r="G596" s="14" t="n">
        <f aca="false">+593960031778</f>
        <v>593960031778</v>
      </c>
      <c r="H596" s="28" t="s">
        <v>1683</v>
      </c>
      <c r="I596" s="28"/>
      <c r="J596" s="14"/>
      <c r="K596" s="1" t="s">
        <v>21</v>
      </c>
      <c r="L596" s="1"/>
      <c r="M596" s="1"/>
      <c r="N596" s="1"/>
      <c r="O596" s="1"/>
      <c r="P596" s="6" t="s">
        <v>21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21.75" hidden="false" customHeight="true" outlineLevel="0" collapsed="false">
      <c r="A597" s="4" t="n">
        <v>43480</v>
      </c>
      <c r="B597" s="14" t="s">
        <v>415</v>
      </c>
      <c r="C597" s="14" t="s">
        <v>15</v>
      </c>
      <c r="D597" s="14" t="s">
        <v>43</v>
      </c>
      <c r="E597" s="14" t="s">
        <v>109</v>
      </c>
      <c r="F597" s="14" t="s">
        <v>1684</v>
      </c>
      <c r="G597" s="14" t="n">
        <f aca="false">+593997276251</f>
        <v>593997276251</v>
      </c>
      <c r="H597" s="28" t="s">
        <v>1685</v>
      </c>
      <c r="I597" s="28"/>
      <c r="J597" s="14"/>
      <c r="K597" s="1" t="s">
        <v>21</v>
      </c>
      <c r="L597" s="1"/>
      <c r="M597" s="1"/>
      <c r="N597" s="1"/>
      <c r="O597" s="1"/>
      <c r="P597" s="6" t="s">
        <v>21</v>
      </c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21.75" hidden="false" customHeight="true" outlineLevel="0" collapsed="false">
      <c r="A598" s="4" t="n">
        <v>43480</v>
      </c>
      <c r="B598" s="18" t="s">
        <v>415</v>
      </c>
      <c r="C598" s="14" t="s">
        <v>15</v>
      </c>
      <c r="D598" s="14" t="s">
        <v>43</v>
      </c>
      <c r="E598" s="14" t="s">
        <v>109</v>
      </c>
      <c r="F598" s="19" t="s">
        <v>1686</v>
      </c>
      <c r="G598" s="18" t="n">
        <v>6000223</v>
      </c>
      <c r="H598" s="18" t="s">
        <v>1687</v>
      </c>
      <c r="I598" s="18"/>
      <c r="J598" s="1"/>
      <c r="K598" s="1" t="s">
        <v>21</v>
      </c>
      <c r="L598" s="1"/>
      <c r="M598" s="1"/>
      <c r="N598" s="1"/>
      <c r="O598" s="1"/>
      <c r="P598" s="6" t="s">
        <v>21</v>
      </c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21.75" hidden="false" customHeight="true" outlineLevel="0" collapsed="false">
      <c r="A599" s="4" t="n">
        <v>43480</v>
      </c>
      <c r="B599" s="14" t="s">
        <v>352</v>
      </c>
      <c r="C599" s="14" t="s">
        <v>15</v>
      </c>
      <c r="D599" s="14" t="s">
        <v>43</v>
      </c>
      <c r="E599" s="14" t="s">
        <v>109</v>
      </c>
      <c r="F599" s="14" t="s">
        <v>1688</v>
      </c>
      <c r="G599" s="14" t="n">
        <f aca="false">+593996777166</f>
        <v>593996777166</v>
      </c>
      <c r="H599" s="28" t="s">
        <v>1689</v>
      </c>
      <c r="I599" s="28"/>
      <c r="J599" s="14"/>
      <c r="K599" s="1" t="s">
        <v>1690</v>
      </c>
      <c r="L599" s="1"/>
      <c r="M599" s="1"/>
      <c r="N599" s="1"/>
      <c r="O599" s="1"/>
      <c r="P599" s="6" t="s">
        <v>31</v>
      </c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21.75" hidden="false" customHeight="true" outlineLevel="0" collapsed="false">
      <c r="A600" s="4" t="n">
        <v>43480</v>
      </c>
      <c r="B600" s="14" t="s">
        <v>352</v>
      </c>
      <c r="C600" s="14" t="s">
        <v>15</v>
      </c>
      <c r="D600" s="14" t="s">
        <v>43</v>
      </c>
      <c r="E600" s="14" t="s">
        <v>109</v>
      </c>
      <c r="F600" s="14" t="s">
        <v>1691</v>
      </c>
      <c r="G600" s="14" t="n">
        <f aca="false">+593990212150</f>
        <v>593990212150</v>
      </c>
      <c r="H600" s="28" t="s">
        <v>1692</v>
      </c>
      <c r="I600" s="28"/>
      <c r="J600" s="14"/>
      <c r="K600" s="1" t="s">
        <v>21</v>
      </c>
      <c r="L600" s="1"/>
      <c r="M600" s="1"/>
      <c r="N600" s="1"/>
      <c r="O600" s="1"/>
      <c r="P600" s="6" t="s">
        <v>21</v>
      </c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21.75" hidden="false" customHeight="true" outlineLevel="0" collapsed="false">
      <c r="A601" s="4" t="n">
        <v>43480</v>
      </c>
      <c r="B601" s="14" t="s">
        <v>352</v>
      </c>
      <c r="C601" s="14" t="s">
        <v>15</v>
      </c>
      <c r="D601" s="14" t="s">
        <v>43</v>
      </c>
      <c r="E601" s="14" t="s">
        <v>109</v>
      </c>
      <c r="F601" s="14" t="s">
        <v>1693</v>
      </c>
      <c r="G601" s="14" t="n">
        <f aca="false">+593991502962</f>
        <v>593991502962</v>
      </c>
      <c r="H601" s="28" t="s">
        <v>1694</v>
      </c>
      <c r="I601" s="28"/>
      <c r="J601" s="14"/>
      <c r="K601" s="1" t="s">
        <v>21</v>
      </c>
      <c r="L601" s="1"/>
      <c r="M601" s="1"/>
      <c r="N601" s="1"/>
      <c r="O601" s="1"/>
      <c r="P601" s="6" t="s">
        <v>21</v>
      </c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21.75" hidden="false" customHeight="true" outlineLevel="0" collapsed="false">
      <c r="A602" s="4" t="n">
        <v>43480</v>
      </c>
      <c r="B602" s="14" t="s">
        <v>352</v>
      </c>
      <c r="C602" s="14" t="s">
        <v>26</v>
      </c>
      <c r="D602" s="14" t="s">
        <v>43</v>
      </c>
      <c r="E602" s="14" t="s">
        <v>109</v>
      </c>
      <c r="F602" s="14" t="s">
        <v>1695</v>
      </c>
      <c r="G602" s="14" t="n">
        <f aca="false">+593987723592</f>
        <v>593987723592</v>
      </c>
      <c r="H602" s="28" t="s">
        <v>1696</v>
      </c>
      <c r="I602" s="28"/>
      <c r="J602" s="14"/>
      <c r="K602" s="1" t="s">
        <v>21</v>
      </c>
      <c r="L602" s="1"/>
      <c r="M602" s="1"/>
      <c r="N602" s="1"/>
      <c r="O602" s="1"/>
      <c r="P602" s="6" t="s">
        <v>21</v>
      </c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21.75" hidden="false" customHeight="true" outlineLevel="0" collapsed="false">
      <c r="A603" s="4" t="n">
        <v>43480</v>
      </c>
      <c r="B603" s="14" t="s">
        <v>352</v>
      </c>
      <c r="C603" s="14" t="s">
        <v>15</v>
      </c>
      <c r="D603" s="14" t="s">
        <v>43</v>
      </c>
      <c r="E603" s="14" t="s">
        <v>109</v>
      </c>
      <c r="F603" s="14" t="s">
        <v>1697</v>
      </c>
      <c r="G603" s="14" t="n">
        <f aca="false">+593968726133</f>
        <v>593968726133</v>
      </c>
      <c r="H603" s="28" t="s">
        <v>1698</v>
      </c>
      <c r="I603" s="28"/>
      <c r="J603" s="14"/>
      <c r="K603" s="1" t="s">
        <v>21</v>
      </c>
      <c r="L603" s="1"/>
      <c r="M603" s="1"/>
      <c r="N603" s="1"/>
      <c r="O603" s="1"/>
      <c r="P603" s="6" t="s">
        <v>21</v>
      </c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21.75" hidden="false" customHeight="true" outlineLevel="0" collapsed="false">
      <c r="A604" s="4" t="n">
        <v>43480</v>
      </c>
      <c r="B604" s="14" t="s">
        <v>352</v>
      </c>
      <c r="C604" s="14" t="s">
        <v>15</v>
      </c>
      <c r="D604" s="14" t="s">
        <v>43</v>
      </c>
      <c r="E604" s="14" t="s">
        <v>109</v>
      </c>
      <c r="F604" s="14" t="s">
        <v>1699</v>
      </c>
      <c r="G604" s="14" t="n">
        <f aca="false">+593978897846</f>
        <v>593978897846</v>
      </c>
      <c r="H604" s="28" t="s">
        <v>1700</v>
      </c>
      <c r="I604" s="28"/>
      <c r="J604" s="14"/>
      <c r="K604" s="1" t="s">
        <v>21</v>
      </c>
      <c r="L604" s="1"/>
      <c r="M604" s="1"/>
      <c r="N604" s="1"/>
      <c r="O604" s="1"/>
      <c r="P604" s="6" t="s">
        <v>21</v>
      </c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21.75" hidden="false" customHeight="true" outlineLevel="0" collapsed="false">
      <c r="A605" s="4" t="n">
        <v>43480</v>
      </c>
      <c r="B605" s="14" t="s">
        <v>352</v>
      </c>
      <c r="C605" s="14" t="s">
        <v>15</v>
      </c>
      <c r="D605" s="14" t="s">
        <v>43</v>
      </c>
      <c r="E605" s="14" t="s">
        <v>109</v>
      </c>
      <c r="F605" s="14" t="s">
        <v>1701</v>
      </c>
      <c r="G605" s="14" t="n">
        <f aca="false">+969266001</f>
        <v>969266001</v>
      </c>
      <c r="H605" s="28" t="s">
        <v>1702</v>
      </c>
      <c r="I605" s="28"/>
      <c r="J605" s="14"/>
      <c r="K605" s="1" t="s">
        <v>1703</v>
      </c>
      <c r="L605" s="1"/>
      <c r="M605" s="1"/>
      <c r="N605" s="1"/>
      <c r="O605" s="1"/>
      <c r="P605" s="6" t="s">
        <v>133</v>
      </c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21.75" hidden="false" customHeight="true" outlineLevel="0" collapsed="false">
      <c r="A606" s="4" t="n">
        <v>43480</v>
      </c>
      <c r="B606" s="18" t="s">
        <v>352</v>
      </c>
      <c r="C606" s="14" t="s">
        <v>15</v>
      </c>
      <c r="D606" s="14" t="s">
        <v>43</v>
      </c>
      <c r="E606" s="14" t="s">
        <v>109</v>
      </c>
      <c r="F606" s="19" t="s">
        <v>1704</v>
      </c>
      <c r="G606" s="18" t="n">
        <v>991950343</v>
      </c>
      <c r="H606" s="18" t="s">
        <v>1705</v>
      </c>
      <c r="I606" s="18"/>
      <c r="J606" s="1"/>
      <c r="K606" s="1" t="s">
        <v>1706</v>
      </c>
      <c r="L606" s="1"/>
      <c r="M606" s="1"/>
      <c r="N606" s="1"/>
      <c r="O606" s="1"/>
      <c r="P606" s="6" t="s">
        <v>747</v>
      </c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21.75" hidden="false" customHeight="true" outlineLevel="0" collapsed="false">
      <c r="A607" s="4" t="n">
        <v>43480</v>
      </c>
      <c r="B607" s="18" t="s">
        <v>352</v>
      </c>
      <c r="C607" s="14" t="s">
        <v>15</v>
      </c>
      <c r="D607" s="14" t="s">
        <v>43</v>
      </c>
      <c r="E607" s="14" t="s">
        <v>109</v>
      </c>
      <c r="F607" s="19" t="s">
        <v>1704</v>
      </c>
      <c r="G607" s="18" t="n">
        <v>991950343</v>
      </c>
      <c r="H607" s="18" t="s">
        <v>1705</v>
      </c>
      <c r="I607" s="18"/>
      <c r="J607" s="1"/>
      <c r="K607" s="1" t="s">
        <v>428</v>
      </c>
      <c r="L607" s="1"/>
      <c r="M607" s="1"/>
      <c r="N607" s="1"/>
      <c r="O607" s="1"/>
      <c r="P607" s="6" t="s">
        <v>31</v>
      </c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21.75" hidden="false" customHeight="true" outlineLevel="0" collapsed="false">
      <c r="A608" s="4" t="n">
        <v>43480</v>
      </c>
      <c r="B608" s="14" t="s">
        <v>352</v>
      </c>
      <c r="C608" s="14" t="s">
        <v>15</v>
      </c>
      <c r="D608" s="14" t="s">
        <v>43</v>
      </c>
      <c r="E608" s="14" t="s">
        <v>109</v>
      </c>
      <c r="F608" s="14" t="s">
        <v>1707</v>
      </c>
      <c r="G608" s="14" t="n">
        <f aca="false">+593980910150</f>
        <v>593980910150</v>
      </c>
      <c r="H608" s="14" t="s">
        <v>1708</v>
      </c>
      <c r="I608" s="14"/>
      <c r="J608" s="1"/>
      <c r="K608" s="1" t="s">
        <v>21</v>
      </c>
      <c r="L608" s="1"/>
      <c r="M608" s="1"/>
      <c r="N608" s="1"/>
      <c r="O608" s="1"/>
      <c r="P608" s="6" t="s">
        <v>21</v>
      </c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21.75" hidden="false" customHeight="true" outlineLevel="0" collapsed="false">
      <c r="A609" s="4" t="n">
        <v>43480</v>
      </c>
      <c r="B609" s="14" t="s">
        <v>352</v>
      </c>
      <c r="C609" s="14" t="s">
        <v>15</v>
      </c>
      <c r="D609" s="14" t="s">
        <v>43</v>
      </c>
      <c r="E609" s="14" t="s">
        <v>109</v>
      </c>
      <c r="F609" s="14" t="s">
        <v>1709</v>
      </c>
      <c r="G609" s="14" t="n">
        <f aca="false">+5930993095941</f>
        <v>5930993095941</v>
      </c>
      <c r="H609" s="14" t="s">
        <v>1710</v>
      </c>
      <c r="I609" s="14"/>
      <c r="J609" s="1"/>
      <c r="K609" s="1" t="s">
        <v>1711</v>
      </c>
      <c r="L609" s="1"/>
      <c r="M609" s="1"/>
      <c r="N609" s="1"/>
      <c r="O609" s="1"/>
      <c r="P609" s="6" t="s">
        <v>133</v>
      </c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21.75" hidden="false" customHeight="true" outlineLevel="0" collapsed="false">
      <c r="A610" s="4" t="n">
        <v>43480</v>
      </c>
      <c r="B610" s="18" t="s">
        <v>178</v>
      </c>
      <c r="C610" s="14" t="s">
        <v>15</v>
      </c>
      <c r="D610" s="14" t="s">
        <v>43</v>
      </c>
      <c r="E610" s="14" t="s">
        <v>44</v>
      </c>
      <c r="F610" s="14" t="s">
        <v>1712</v>
      </c>
      <c r="G610" s="14" t="n">
        <f aca="false">+593987847702</f>
        <v>593987847702</v>
      </c>
      <c r="H610" s="28" t="s">
        <v>1713</v>
      </c>
      <c r="I610" s="28"/>
      <c r="J610" s="14"/>
      <c r="K610" s="1" t="s">
        <v>496</v>
      </c>
      <c r="L610" s="1"/>
      <c r="M610" s="1"/>
      <c r="N610" s="1"/>
      <c r="O610" s="1"/>
      <c r="P610" s="6" t="s">
        <v>133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21.75" hidden="false" customHeight="true" outlineLevel="0" collapsed="false">
      <c r="A611" s="4" t="n">
        <v>43480</v>
      </c>
      <c r="B611" s="18" t="s">
        <v>178</v>
      </c>
      <c r="C611" s="14" t="s">
        <v>15</v>
      </c>
      <c r="D611" s="14" t="s">
        <v>43</v>
      </c>
      <c r="E611" s="14" t="s">
        <v>44</v>
      </c>
      <c r="F611" s="14" t="s">
        <v>1714</v>
      </c>
      <c r="G611" s="14" t="n">
        <f aca="false">+593982682223</f>
        <v>593982682223</v>
      </c>
      <c r="H611" s="14" t="s">
        <v>1715</v>
      </c>
      <c r="I611" s="14"/>
      <c r="J611" s="1"/>
      <c r="K611" s="1" t="s">
        <v>21</v>
      </c>
      <c r="L611" s="1"/>
      <c r="M611" s="1"/>
      <c r="N611" s="1"/>
      <c r="O611" s="1"/>
      <c r="P611" s="6" t="s">
        <v>21</v>
      </c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21.75" hidden="false" customHeight="true" outlineLevel="0" collapsed="false">
      <c r="A612" s="4" t="n">
        <v>43480</v>
      </c>
      <c r="B612" s="14" t="s">
        <v>178</v>
      </c>
      <c r="C612" s="14" t="s">
        <v>15</v>
      </c>
      <c r="D612" s="14" t="s">
        <v>43</v>
      </c>
      <c r="E612" s="14" t="s">
        <v>109</v>
      </c>
      <c r="F612" s="14" t="s">
        <v>1716</v>
      </c>
      <c r="G612" s="14" t="n">
        <f aca="false">+593987814278</f>
        <v>593987814278</v>
      </c>
      <c r="H612" s="28" t="s">
        <v>1717</v>
      </c>
      <c r="I612" s="28"/>
      <c r="J612" s="14"/>
      <c r="K612" s="1" t="s">
        <v>1718</v>
      </c>
      <c r="L612" s="1"/>
      <c r="M612" s="1"/>
      <c r="N612" s="1"/>
      <c r="O612" s="1"/>
      <c r="P612" s="6" t="s">
        <v>133</v>
      </c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21.75" hidden="false" customHeight="true" outlineLevel="0" collapsed="false">
      <c r="A613" s="4" t="n">
        <v>43480</v>
      </c>
      <c r="B613" s="14" t="s">
        <v>178</v>
      </c>
      <c r="C613" s="14" t="s">
        <v>15</v>
      </c>
      <c r="D613" s="14" t="s">
        <v>43</v>
      </c>
      <c r="E613" s="14" t="s">
        <v>109</v>
      </c>
      <c r="F613" s="14" t="s">
        <v>1719</v>
      </c>
      <c r="G613" s="14" t="n">
        <f aca="false">+593990063407</f>
        <v>593990063407</v>
      </c>
      <c r="H613" s="28" t="s">
        <v>1720</v>
      </c>
      <c r="I613" s="28"/>
      <c r="J613" s="14"/>
      <c r="K613" s="1" t="s">
        <v>1256</v>
      </c>
      <c r="L613" s="1"/>
      <c r="M613" s="1"/>
      <c r="N613" s="1"/>
      <c r="O613" s="1"/>
      <c r="P613" s="6" t="s">
        <v>751</v>
      </c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21.75" hidden="false" customHeight="true" outlineLevel="0" collapsed="false">
      <c r="A614" s="4" t="n">
        <v>43480</v>
      </c>
      <c r="B614" s="14" t="s">
        <v>178</v>
      </c>
      <c r="C614" s="14" t="s">
        <v>15</v>
      </c>
      <c r="D614" s="14" t="s">
        <v>43</v>
      </c>
      <c r="E614" s="14" t="s">
        <v>109</v>
      </c>
      <c r="F614" s="14" t="s">
        <v>1721</v>
      </c>
      <c r="G614" s="14" t="n">
        <f aca="false">+593985256596</f>
        <v>593985256596</v>
      </c>
      <c r="H614" s="28" t="s">
        <v>1722</v>
      </c>
      <c r="I614" s="28"/>
      <c r="J614" s="14"/>
      <c r="K614" s="1" t="s">
        <v>21</v>
      </c>
      <c r="L614" s="1"/>
      <c r="M614" s="1"/>
      <c r="N614" s="1"/>
      <c r="O614" s="1"/>
      <c r="P614" s="6" t="s">
        <v>21</v>
      </c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21.75" hidden="false" customHeight="true" outlineLevel="0" collapsed="false">
      <c r="A615" s="4" t="n">
        <v>43480</v>
      </c>
      <c r="B615" s="14" t="s">
        <v>178</v>
      </c>
      <c r="C615" s="14" t="s">
        <v>15</v>
      </c>
      <c r="D615" s="14" t="s">
        <v>43</v>
      </c>
      <c r="E615" s="14" t="s">
        <v>109</v>
      </c>
      <c r="F615" s="14" t="s">
        <v>1723</v>
      </c>
      <c r="G615" s="14" t="n">
        <f aca="false">+5930997154241</f>
        <v>5930997154241</v>
      </c>
      <c r="H615" s="28" t="s">
        <v>1724</v>
      </c>
      <c r="I615" s="28"/>
      <c r="J615" s="14"/>
      <c r="K615" s="1" t="s">
        <v>21</v>
      </c>
      <c r="L615" s="1"/>
      <c r="M615" s="1"/>
      <c r="N615" s="1"/>
      <c r="O615" s="1"/>
      <c r="P615" s="6" t="s">
        <v>21</v>
      </c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21.75" hidden="false" customHeight="true" outlineLevel="0" collapsed="false">
      <c r="A616" s="4" t="n">
        <v>43480</v>
      </c>
      <c r="B616" s="14" t="s">
        <v>178</v>
      </c>
      <c r="C616" s="14" t="s">
        <v>15</v>
      </c>
      <c r="D616" s="14" t="s">
        <v>43</v>
      </c>
      <c r="E616" s="14" t="s">
        <v>109</v>
      </c>
      <c r="F616" s="14" t="s">
        <v>1725</v>
      </c>
      <c r="G616" s="14" t="n">
        <f aca="false">+593979755515</f>
        <v>593979755515</v>
      </c>
      <c r="H616" s="14" t="s">
        <v>1726</v>
      </c>
      <c r="I616" s="14"/>
      <c r="J616" s="1"/>
      <c r="K616" s="1" t="s">
        <v>21</v>
      </c>
      <c r="L616" s="1"/>
      <c r="M616" s="1"/>
      <c r="N616" s="1"/>
      <c r="O616" s="1"/>
      <c r="P616" s="6" t="s">
        <v>21</v>
      </c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21.75" hidden="false" customHeight="true" outlineLevel="0" collapsed="false">
      <c r="A617" s="4" t="n">
        <v>43480</v>
      </c>
      <c r="B617" s="14" t="s">
        <v>178</v>
      </c>
      <c r="C617" s="14" t="s">
        <v>15</v>
      </c>
      <c r="D617" s="14" t="s">
        <v>43</v>
      </c>
      <c r="E617" s="14" t="s">
        <v>109</v>
      </c>
      <c r="F617" s="14" t="s">
        <v>1727</v>
      </c>
      <c r="G617" s="14" t="n">
        <f aca="false">+593983650825</f>
        <v>593983650825</v>
      </c>
      <c r="H617" s="14" t="s">
        <v>1728</v>
      </c>
      <c r="I617" s="14"/>
      <c r="J617" s="1"/>
      <c r="K617" s="1" t="s">
        <v>21</v>
      </c>
      <c r="L617" s="1"/>
      <c r="M617" s="1"/>
      <c r="N617" s="1"/>
      <c r="O617" s="1"/>
      <c r="P617" s="6" t="s">
        <v>21</v>
      </c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21.75" hidden="false" customHeight="true" outlineLevel="0" collapsed="false">
      <c r="A618" s="4" t="n">
        <v>43480</v>
      </c>
      <c r="B618" s="18" t="s">
        <v>81</v>
      </c>
      <c r="C618" s="14" t="s">
        <v>15</v>
      </c>
      <c r="D618" s="14" t="s">
        <v>43</v>
      </c>
      <c r="E618" s="14" t="s">
        <v>44</v>
      </c>
      <c r="F618" s="14" t="s">
        <v>1729</v>
      </c>
      <c r="G618" s="14" t="n">
        <f aca="false">+5930986690682</f>
        <v>5930986690682</v>
      </c>
      <c r="H618" s="28" t="s">
        <v>1730</v>
      </c>
      <c r="I618" s="28"/>
      <c r="J618" s="14"/>
      <c r="K618" s="1" t="s">
        <v>21</v>
      </c>
      <c r="L618" s="1"/>
      <c r="M618" s="1"/>
      <c r="N618" s="1"/>
      <c r="O618" s="1"/>
      <c r="P618" s="6" t="s">
        <v>21</v>
      </c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21.75" hidden="false" customHeight="true" outlineLevel="0" collapsed="false">
      <c r="A619" s="4" t="n">
        <v>43480</v>
      </c>
      <c r="B619" s="14" t="s">
        <v>81</v>
      </c>
      <c r="C619" s="14" t="s">
        <v>15</v>
      </c>
      <c r="D619" s="14" t="s">
        <v>43</v>
      </c>
      <c r="E619" s="14" t="s">
        <v>109</v>
      </c>
      <c r="F619" s="14" t="s">
        <v>1731</v>
      </c>
      <c r="G619" s="14" t="n">
        <f aca="false">+593999773842</f>
        <v>593999773842</v>
      </c>
      <c r="H619" s="28" t="s">
        <v>1732</v>
      </c>
      <c r="I619" s="28"/>
      <c r="J619" s="14"/>
      <c r="K619" s="1" t="s">
        <v>1733</v>
      </c>
      <c r="L619" s="1"/>
      <c r="M619" s="1"/>
      <c r="N619" s="1"/>
      <c r="O619" s="1"/>
      <c r="P619" s="6" t="s">
        <v>21</v>
      </c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21.75" hidden="false" customHeight="true" outlineLevel="0" collapsed="false">
      <c r="A620" s="4" t="n">
        <v>43480</v>
      </c>
      <c r="B620" s="14" t="s">
        <v>81</v>
      </c>
      <c r="C620" s="14" t="s">
        <v>15</v>
      </c>
      <c r="D620" s="14" t="s">
        <v>43</v>
      </c>
      <c r="E620" s="14" t="s">
        <v>109</v>
      </c>
      <c r="F620" s="14" t="s">
        <v>1734</v>
      </c>
      <c r="G620" s="14" t="n">
        <f aca="false">+593980326309</f>
        <v>593980326309</v>
      </c>
      <c r="H620" s="28" t="s">
        <v>1735</v>
      </c>
      <c r="I620" s="28"/>
      <c r="J620" s="14"/>
      <c r="K620" s="1" t="s">
        <v>263</v>
      </c>
      <c r="L620" s="1"/>
      <c r="M620" s="1"/>
      <c r="N620" s="1"/>
      <c r="O620" s="1"/>
      <c r="P620" s="6" t="s">
        <v>31</v>
      </c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21.75" hidden="false" customHeight="true" outlineLevel="0" collapsed="false">
      <c r="A621" s="4" t="n">
        <v>43480</v>
      </c>
      <c r="B621" s="14" t="s">
        <v>81</v>
      </c>
      <c r="C621" s="14" t="s">
        <v>15</v>
      </c>
      <c r="D621" s="14" t="s">
        <v>43</v>
      </c>
      <c r="E621" s="14" t="s">
        <v>109</v>
      </c>
      <c r="F621" s="14" t="s">
        <v>599</v>
      </c>
      <c r="G621" s="14" t="n">
        <f aca="false">+593997682893</f>
        <v>593997682893</v>
      </c>
      <c r="H621" s="28" t="s">
        <v>600</v>
      </c>
      <c r="I621" s="28"/>
      <c r="J621" s="14"/>
      <c r="K621" s="1" t="s">
        <v>21</v>
      </c>
      <c r="L621" s="1"/>
      <c r="M621" s="1"/>
      <c r="N621" s="1"/>
      <c r="O621" s="1"/>
      <c r="P621" s="6" t="s">
        <v>21</v>
      </c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21.75" hidden="false" customHeight="true" outlineLevel="0" collapsed="false">
      <c r="A622" s="4" t="n">
        <v>43480</v>
      </c>
      <c r="B622" s="14" t="s">
        <v>81</v>
      </c>
      <c r="C622" s="14" t="s">
        <v>15</v>
      </c>
      <c r="D622" s="14" t="s">
        <v>43</v>
      </c>
      <c r="E622" s="14" t="s">
        <v>109</v>
      </c>
      <c r="F622" s="14" t="s">
        <v>1736</v>
      </c>
      <c r="G622" s="14" t="n">
        <f aca="false">+593990017953</f>
        <v>593990017953</v>
      </c>
      <c r="H622" s="28" t="s">
        <v>1737</v>
      </c>
      <c r="I622" s="28"/>
      <c r="J622" s="14"/>
      <c r="K622" s="1" t="s">
        <v>1738</v>
      </c>
      <c r="L622" s="1"/>
      <c r="M622" s="1"/>
      <c r="N622" s="1"/>
      <c r="O622" s="1"/>
      <c r="P622" s="6" t="s">
        <v>133</v>
      </c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21.75" hidden="false" customHeight="true" outlineLevel="0" collapsed="false">
      <c r="A623" s="4" t="n">
        <v>43480</v>
      </c>
      <c r="B623" s="14" t="s">
        <v>81</v>
      </c>
      <c r="C623" s="14" t="s">
        <v>15</v>
      </c>
      <c r="D623" s="14" t="s">
        <v>43</v>
      </c>
      <c r="E623" s="14" t="s">
        <v>109</v>
      </c>
      <c r="F623" s="14" t="s">
        <v>1739</v>
      </c>
      <c r="G623" s="14" t="n">
        <f aca="false">+593961499894</f>
        <v>593961499894</v>
      </c>
      <c r="H623" s="28" t="s">
        <v>1740</v>
      </c>
      <c r="I623" s="28"/>
      <c r="J623" s="14"/>
      <c r="K623" s="1" t="s">
        <v>21</v>
      </c>
      <c r="L623" s="1"/>
      <c r="M623" s="1"/>
      <c r="N623" s="1"/>
      <c r="O623" s="1"/>
      <c r="P623" s="6" t="s">
        <v>21</v>
      </c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21.75" hidden="false" customHeight="true" outlineLevel="0" collapsed="false">
      <c r="A624" s="4" t="n">
        <v>43480</v>
      </c>
      <c r="B624" s="14" t="s">
        <v>81</v>
      </c>
      <c r="C624" s="14" t="s">
        <v>26</v>
      </c>
      <c r="D624" s="14" t="s">
        <v>43</v>
      </c>
      <c r="E624" s="14" t="s">
        <v>109</v>
      </c>
      <c r="F624" s="14" t="s">
        <v>1741</v>
      </c>
      <c r="G624" s="14" t="n">
        <f aca="false">+593985168219</f>
        <v>593985168219</v>
      </c>
      <c r="H624" s="28" t="s">
        <v>1742</v>
      </c>
      <c r="I624" s="28"/>
      <c r="J624" s="14"/>
      <c r="K624" s="1" t="s">
        <v>21</v>
      </c>
      <c r="L624" s="1"/>
      <c r="M624" s="1"/>
      <c r="N624" s="1"/>
      <c r="O624" s="1"/>
      <c r="P624" s="6" t="s">
        <v>21</v>
      </c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21.75" hidden="false" customHeight="true" outlineLevel="0" collapsed="false">
      <c r="A625" s="4" t="n">
        <v>43480</v>
      </c>
      <c r="B625" s="14" t="s">
        <v>81</v>
      </c>
      <c r="C625" s="14" t="s">
        <v>15</v>
      </c>
      <c r="D625" s="14" t="s">
        <v>43</v>
      </c>
      <c r="E625" s="14" t="s">
        <v>109</v>
      </c>
      <c r="F625" s="14" t="s">
        <v>1743</v>
      </c>
      <c r="G625" s="14" t="n">
        <f aca="false">+593981138212</f>
        <v>593981138212</v>
      </c>
      <c r="H625" s="28" t="s">
        <v>1744</v>
      </c>
      <c r="I625" s="28"/>
      <c r="J625" s="14"/>
      <c r="K625" s="1" t="s">
        <v>1745</v>
      </c>
      <c r="L625" s="1"/>
      <c r="M625" s="1"/>
      <c r="N625" s="1"/>
      <c r="O625" s="1"/>
      <c r="P625" s="6" t="s">
        <v>133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21.75" hidden="false" customHeight="true" outlineLevel="0" collapsed="false">
      <c r="A626" s="4" t="n">
        <v>43480</v>
      </c>
      <c r="B626" s="14" t="s">
        <v>81</v>
      </c>
      <c r="C626" s="14" t="s">
        <v>15</v>
      </c>
      <c r="D626" s="14" t="s">
        <v>43</v>
      </c>
      <c r="E626" s="14" t="s">
        <v>109</v>
      </c>
      <c r="F626" s="14" t="s">
        <v>1746</v>
      </c>
      <c r="G626" s="14" t="n">
        <f aca="false">+593981974275</f>
        <v>593981974275</v>
      </c>
      <c r="H626" s="14" t="s">
        <v>1747</v>
      </c>
      <c r="I626" s="14"/>
      <c r="J626" s="1"/>
      <c r="K626" s="1" t="s">
        <v>1748</v>
      </c>
      <c r="L626" s="1"/>
      <c r="M626" s="1"/>
      <c r="N626" s="1"/>
      <c r="O626" s="1"/>
      <c r="P626" s="6" t="s">
        <v>133</v>
      </c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21.75" hidden="false" customHeight="true" outlineLevel="0" collapsed="false">
      <c r="A627" s="4" t="n">
        <v>43480</v>
      </c>
      <c r="B627" s="14" t="s">
        <v>81</v>
      </c>
      <c r="C627" s="14" t="s">
        <v>15</v>
      </c>
      <c r="D627" s="14" t="s">
        <v>43</v>
      </c>
      <c r="E627" s="14" t="s">
        <v>109</v>
      </c>
      <c r="F627" s="14" t="s">
        <v>1749</v>
      </c>
      <c r="G627" s="14" t="n">
        <f aca="false">+593988553187</f>
        <v>593988553187</v>
      </c>
      <c r="H627" s="14" t="s">
        <v>1750</v>
      </c>
      <c r="I627" s="14"/>
      <c r="J627" s="1"/>
      <c r="K627" s="20" t="s">
        <v>1751</v>
      </c>
      <c r="L627" s="1"/>
      <c r="M627" s="1"/>
      <c r="N627" s="1"/>
      <c r="O627" s="1"/>
      <c r="P627" s="6" t="s">
        <v>133</v>
      </c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21.75" hidden="false" customHeight="true" outlineLevel="0" collapsed="false">
      <c r="A628" s="4" t="n">
        <v>43480</v>
      </c>
      <c r="B628" s="18" t="s">
        <v>81</v>
      </c>
      <c r="C628" s="14" t="s">
        <v>15</v>
      </c>
      <c r="D628" s="14" t="s">
        <v>43</v>
      </c>
      <c r="E628" s="14" t="s">
        <v>109</v>
      </c>
      <c r="F628" s="19" t="s">
        <v>1752</v>
      </c>
      <c r="G628" s="18" t="n">
        <v>969509370</v>
      </c>
      <c r="H628" s="18" t="s">
        <v>1753</v>
      </c>
      <c r="I628" s="18"/>
      <c r="J628" s="1"/>
      <c r="K628" s="1" t="s">
        <v>1754</v>
      </c>
      <c r="L628" s="1"/>
      <c r="M628" s="1"/>
      <c r="N628" s="1"/>
      <c r="O628" s="1"/>
      <c r="P628" s="6" t="s">
        <v>751</v>
      </c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21.75" hidden="false" customHeight="true" outlineLevel="0" collapsed="false">
      <c r="A629" s="4" t="n">
        <v>43480</v>
      </c>
      <c r="B629" s="18" t="s">
        <v>81</v>
      </c>
      <c r="C629" s="14" t="s">
        <v>15</v>
      </c>
      <c r="D629" s="14" t="s">
        <v>43</v>
      </c>
      <c r="E629" s="14" t="s">
        <v>109</v>
      </c>
      <c r="F629" s="19" t="s">
        <v>1755</v>
      </c>
      <c r="G629" s="18" t="n">
        <v>980376957</v>
      </c>
      <c r="H629" s="18" t="s">
        <v>1756</v>
      </c>
      <c r="I629" s="18"/>
      <c r="J629" s="1"/>
      <c r="K629" s="1" t="s">
        <v>1757</v>
      </c>
      <c r="L629" s="1"/>
      <c r="M629" s="1"/>
      <c r="N629" s="1"/>
      <c r="O629" s="1"/>
      <c r="P629" s="6" t="s">
        <v>31</v>
      </c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21.75" hidden="false" customHeight="true" outlineLevel="0" collapsed="false">
      <c r="A630" s="4" t="n">
        <v>43480</v>
      </c>
      <c r="B630" s="14" t="s">
        <v>911</v>
      </c>
      <c r="C630" s="14" t="s">
        <v>15</v>
      </c>
      <c r="D630" s="14" t="s">
        <v>16</v>
      </c>
      <c r="E630" s="14" t="s">
        <v>17</v>
      </c>
      <c r="F630" s="14" t="s">
        <v>1758</v>
      </c>
      <c r="G630" s="14" t="n">
        <f aca="false">+593996441091</f>
        <v>593996441091</v>
      </c>
      <c r="H630" s="28" t="s">
        <v>1759</v>
      </c>
      <c r="I630" s="28"/>
      <c r="J630" s="14"/>
      <c r="K630" s="1" t="s">
        <v>21</v>
      </c>
      <c r="L630" s="1"/>
      <c r="M630" s="1"/>
      <c r="N630" s="1"/>
      <c r="O630" s="1"/>
      <c r="P630" s="6" t="s">
        <v>21</v>
      </c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21.75" hidden="false" customHeight="true" outlineLevel="0" collapsed="false">
      <c r="A631" s="4" t="n">
        <v>43480</v>
      </c>
      <c r="B631" s="14" t="s">
        <v>911</v>
      </c>
      <c r="C631" s="14" t="s">
        <v>15</v>
      </c>
      <c r="D631" s="14" t="s">
        <v>16</v>
      </c>
      <c r="E631" s="14" t="s">
        <v>17</v>
      </c>
      <c r="F631" s="14" t="s">
        <v>1760</v>
      </c>
      <c r="G631" s="14" t="n">
        <f aca="false">+5930992253369</f>
        <v>5930992253369</v>
      </c>
      <c r="H631" s="28" t="s">
        <v>1761</v>
      </c>
      <c r="I631" s="28"/>
      <c r="J631" s="14"/>
      <c r="K631" s="1" t="s">
        <v>21</v>
      </c>
      <c r="L631" s="1"/>
      <c r="M631" s="1"/>
      <c r="N631" s="1"/>
      <c r="O631" s="1"/>
      <c r="P631" s="6" t="s">
        <v>21</v>
      </c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21.75" hidden="false" customHeight="true" outlineLevel="0" collapsed="false">
      <c r="A632" s="4" t="n">
        <v>43480</v>
      </c>
      <c r="B632" s="14" t="s">
        <v>911</v>
      </c>
      <c r="C632" s="14" t="s">
        <v>15</v>
      </c>
      <c r="D632" s="14" t="s">
        <v>16</v>
      </c>
      <c r="E632" s="14" t="s">
        <v>17</v>
      </c>
      <c r="F632" s="14" t="s">
        <v>1762</v>
      </c>
      <c r="G632" s="14" t="n">
        <f aca="false">+593993084189</f>
        <v>593993084189</v>
      </c>
      <c r="H632" s="28" t="s">
        <v>1763</v>
      </c>
      <c r="I632" s="28"/>
      <c r="J632" s="14"/>
      <c r="K632" s="1" t="s">
        <v>21</v>
      </c>
      <c r="L632" s="1"/>
      <c r="M632" s="1"/>
      <c r="N632" s="1"/>
      <c r="O632" s="1"/>
      <c r="P632" s="6" t="s">
        <v>21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21.75" hidden="false" customHeight="true" outlineLevel="0" collapsed="false">
      <c r="A633" s="4" t="n">
        <v>43480</v>
      </c>
      <c r="B633" s="18" t="s">
        <v>911</v>
      </c>
      <c r="C633" s="14" t="s">
        <v>15</v>
      </c>
      <c r="D633" s="14" t="s">
        <v>16</v>
      </c>
      <c r="E633" s="14" t="s">
        <v>17</v>
      </c>
      <c r="F633" s="19" t="s">
        <v>1764</v>
      </c>
      <c r="G633" s="18" t="n">
        <v>985018695</v>
      </c>
      <c r="H633" s="18" t="s">
        <v>1765</v>
      </c>
      <c r="I633" s="18"/>
      <c r="J633" s="1"/>
      <c r="K633" s="1" t="s">
        <v>1766</v>
      </c>
      <c r="L633" s="1"/>
      <c r="M633" s="1"/>
      <c r="N633" s="1"/>
      <c r="O633" s="1"/>
      <c r="P633" s="6" t="s">
        <v>133</v>
      </c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21.75" hidden="false" customHeight="true" outlineLevel="0" collapsed="false">
      <c r="A634" s="4" t="n">
        <v>43480</v>
      </c>
      <c r="B634" s="11" t="s">
        <v>286</v>
      </c>
      <c r="C634" s="14" t="s">
        <v>15</v>
      </c>
      <c r="D634" s="14" t="s">
        <v>16</v>
      </c>
      <c r="E634" s="14" t="s">
        <v>17</v>
      </c>
      <c r="F634" s="14" t="s">
        <v>1767</v>
      </c>
      <c r="G634" s="14" t="n">
        <f aca="false">+593985029843</f>
        <v>593985029843</v>
      </c>
      <c r="H634" s="28" t="s">
        <v>1768</v>
      </c>
      <c r="I634" s="28"/>
      <c r="J634" s="14"/>
      <c r="K634" s="1" t="s">
        <v>21</v>
      </c>
      <c r="L634" s="1"/>
      <c r="M634" s="1"/>
      <c r="N634" s="1"/>
      <c r="O634" s="1"/>
      <c r="P634" s="6" t="s">
        <v>21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21.75" hidden="false" customHeight="true" outlineLevel="0" collapsed="false">
      <c r="A635" s="4" t="n">
        <v>43480</v>
      </c>
      <c r="B635" s="18" t="s">
        <v>86</v>
      </c>
      <c r="C635" s="14" t="s">
        <v>15</v>
      </c>
      <c r="D635" s="14" t="s">
        <v>16</v>
      </c>
      <c r="E635" s="14" t="s">
        <v>17</v>
      </c>
      <c r="F635" s="14" t="s">
        <v>1769</v>
      </c>
      <c r="G635" s="14" t="n">
        <f aca="false">+593958911189</f>
        <v>593958911189</v>
      </c>
      <c r="H635" s="28" t="s">
        <v>1770</v>
      </c>
      <c r="I635" s="28"/>
      <c r="J635" s="14"/>
      <c r="K635" s="1" t="s">
        <v>21</v>
      </c>
      <c r="L635" s="1"/>
      <c r="M635" s="1"/>
      <c r="N635" s="1"/>
      <c r="O635" s="1"/>
      <c r="P635" s="6" t="s">
        <v>21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21.75" hidden="false" customHeight="true" outlineLevel="0" collapsed="false">
      <c r="A636" s="4" t="n">
        <v>43480</v>
      </c>
      <c r="B636" s="18" t="s">
        <v>86</v>
      </c>
      <c r="C636" s="14" t="s">
        <v>15</v>
      </c>
      <c r="D636" s="14" t="s">
        <v>16</v>
      </c>
      <c r="E636" s="14" t="s">
        <v>17</v>
      </c>
      <c r="F636" s="14" t="s">
        <v>1771</v>
      </c>
      <c r="G636" s="14" t="n">
        <f aca="false">+593978743842</f>
        <v>593978743842</v>
      </c>
      <c r="H636" s="28" t="s">
        <v>1772</v>
      </c>
      <c r="I636" s="28"/>
      <c r="J636" s="14"/>
      <c r="K636" s="1" t="s">
        <v>21</v>
      </c>
      <c r="L636" s="1"/>
      <c r="M636" s="1"/>
      <c r="N636" s="1"/>
      <c r="O636" s="1"/>
      <c r="P636" s="6" t="s">
        <v>21</v>
      </c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21.75" hidden="false" customHeight="true" outlineLevel="0" collapsed="false">
      <c r="A637" s="4" t="n">
        <v>43480</v>
      </c>
      <c r="B637" s="18" t="s">
        <v>86</v>
      </c>
      <c r="C637" s="14" t="s">
        <v>15</v>
      </c>
      <c r="D637" s="14" t="s">
        <v>16</v>
      </c>
      <c r="E637" s="14" t="s">
        <v>17</v>
      </c>
      <c r="F637" s="14" t="s">
        <v>1773</v>
      </c>
      <c r="G637" s="14" t="n">
        <f aca="false">+5930998488135</f>
        <v>5930998488135</v>
      </c>
      <c r="H637" s="14" t="s">
        <v>1774</v>
      </c>
      <c r="I637" s="14"/>
      <c r="J637" s="1"/>
      <c r="K637" s="1" t="s">
        <v>21</v>
      </c>
      <c r="L637" s="1"/>
      <c r="M637" s="1"/>
      <c r="N637" s="1"/>
      <c r="O637" s="1"/>
      <c r="P637" s="6" t="s">
        <v>21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21.75" hidden="false" customHeight="true" outlineLevel="0" collapsed="false">
      <c r="A638" s="4" t="n">
        <v>43480</v>
      </c>
      <c r="B638" s="18" t="s">
        <v>86</v>
      </c>
      <c r="C638" s="14" t="s">
        <v>15</v>
      </c>
      <c r="D638" s="14" t="s">
        <v>16</v>
      </c>
      <c r="E638" s="14" t="s">
        <v>17</v>
      </c>
      <c r="F638" s="14" t="s">
        <v>1775</v>
      </c>
      <c r="G638" s="14" t="n">
        <f aca="false">+593996394040</f>
        <v>593996394040</v>
      </c>
      <c r="H638" s="14" t="s">
        <v>1776</v>
      </c>
      <c r="I638" s="14"/>
      <c r="J638" s="1"/>
      <c r="K638" s="1" t="s">
        <v>21</v>
      </c>
      <c r="L638" s="1"/>
      <c r="M638" s="1"/>
      <c r="N638" s="1"/>
      <c r="O638" s="1"/>
      <c r="P638" s="6" t="s">
        <v>21</v>
      </c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21.75" hidden="false" customHeight="true" outlineLevel="0" collapsed="false">
      <c r="A639" s="4" t="n">
        <v>43480</v>
      </c>
      <c r="B639" s="18" t="s">
        <v>86</v>
      </c>
      <c r="C639" s="14" t="s">
        <v>15</v>
      </c>
      <c r="D639" s="14" t="s">
        <v>16</v>
      </c>
      <c r="E639" s="14" t="s">
        <v>17</v>
      </c>
      <c r="F639" s="18" t="s">
        <v>1777</v>
      </c>
      <c r="G639" s="19" t="n">
        <v>994340325</v>
      </c>
      <c r="H639" s="19" t="s">
        <v>1778</v>
      </c>
      <c r="I639" s="19"/>
      <c r="J639" s="1"/>
      <c r="K639" s="1" t="s">
        <v>1779</v>
      </c>
      <c r="L639" s="1"/>
      <c r="M639" s="1"/>
      <c r="N639" s="1"/>
      <c r="O639" s="1"/>
      <c r="P639" s="6" t="s">
        <v>133</v>
      </c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21.75" hidden="false" customHeight="true" outlineLevel="0" collapsed="false">
      <c r="A640" s="4" t="n">
        <v>43480</v>
      </c>
      <c r="B640" s="18" t="s">
        <v>301</v>
      </c>
      <c r="C640" s="14" t="s">
        <v>15</v>
      </c>
      <c r="D640" s="14" t="s">
        <v>16</v>
      </c>
      <c r="E640" s="14" t="s">
        <v>17</v>
      </c>
      <c r="F640" s="14" t="s">
        <v>1780</v>
      </c>
      <c r="G640" s="14" t="n">
        <f aca="false">+593979778246</f>
        <v>593979778246</v>
      </c>
      <c r="H640" s="14" t="s">
        <v>1781</v>
      </c>
      <c r="I640" s="14"/>
      <c r="J640" s="1"/>
      <c r="K640" s="1" t="s">
        <v>21</v>
      </c>
      <c r="L640" s="1"/>
      <c r="M640" s="1"/>
      <c r="N640" s="1"/>
      <c r="O640" s="1"/>
      <c r="P640" s="6" t="s">
        <v>21</v>
      </c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21.75" hidden="false" customHeight="true" outlineLevel="0" collapsed="false">
      <c r="A641" s="4" t="n">
        <v>43481</v>
      </c>
      <c r="B641" s="18" t="s">
        <v>14</v>
      </c>
      <c r="C641" s="14" t="s">
        <v>15</v>
      </c>
      <c r="D641" s="14" t="s">
        <v>16</v>
      </c>
      <c r="E641" s="14" t="s">
        <v>17</v>
      </c>
      <c r="F641" s="14" t="s">
        <v>1782</v>
      </c>
      <c r="G641" s="14" t="n">
        <f aca="false">+593995276449</f>
        <v>593995276449</v>
      </c>
      <c r="H641" s="14" t="s">
        <v>1783</v>
      </c>
      <c r="I641" s="14"/>
      <c r="J641" s="1"/>
      <c r="K641" s="1" t="s">
        <v>1784</v>
      </c>
      <c r="L641" s="1"/>
      <c r="M641" s="1"/>
      <c r="N641" s="1"/>
      <c r="O641" s="1"/>
      <c r="P641" s="6" t="s">
        <v>133</v>
      </c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21.75" hidden="false" customHeight="true" outlineLevel="0" collapsed="false">
      <c r="A642" s="4" t="n">
        <v>43481</v>
      </c>
      <c r="B642" s="18" t="s">
        <v>14</v>
      </c>
      <c r="C642" s="14" t="s">
        <v>15</v>
      </c>
      <c r="D642" s="14" t="s">
        <v>16</v>
      </c>
      <c r="E642" s="14" t="s">
        <v>17</v>
      </c>
      <c r="F642" s="14" t="s">
        <v>1785</v>
      </c>
      <c r="G642" s="14" t="n">
        <f aca="false">+593959422864</f>
        <v>593959422864</v>
      </c>
      <c r="H642" s="14" t="s">
        <v>1786</v>
      </c>
      <c r="I642" s="14"/>
      <c r="J642" s="1"/>
      <c r="K642" s="1" t="s">
        <v>21</v>
      </c>
      <c r="L642" s="1"/>
      <c r="M642" s="1"/>
      <c r="N642" s="1"/>
      <c r="O642" s="1"/>
      <c r="P642" s="6" t="s">
        <v>21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21.75" hidden="false" customHeight="true" outlineLevel="0" collapsed="false">
      <c r="A643" s="4" t="n">
        <v>43481</v>
      </c>
      <c r="B643" s="18" t="s">
        <v>14</v>
      </c>
      <c r="C643" s="14" t="s">
        <v>15</v>
      </c>
      <c r="D643" s="14" t="s">
        <v>16</v>
      </c>
      <c r="E643" s="14" t="s">
        <v>17</v>
      </c>
      <c r="F643" s="14" t="s">
        <v>1787</v>
      </c>
      <c r="G643" s="14" t="n">
        <f aca="false">+593969907380</f>
        <v>593969907380</v>
      </c>
      <c r="H643" s="14" t="s">
        <v>1788</v>
      </c>
      <c r="I643" s="14"/>
      <c r="J643" s="1"/>
      <c r="K643" s="1" t="s">
        <v>1789</v>
      </c>
      <c r="L643" s="1"/>
      <c r="M643" s="1"/>
      <c r="N643" s="1"/>
      <c r="O643" s="1"/>
      <c r="P643" s="6" t="s">
        <v>31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21.75" hidden="false" customHeight="true" outlineLevel="0" collapsed="false">
      <c r="A644" s="4" t="n">
        <v>43481</v>
      </c>
      <c r="B644" s="8" t="s">
        <v>42</v>
      </c>
      <c r="C644" s="14" t="s">
        <v>15</v>
      </c>
      <c r="D644" s="14" t="s">
        <v>43</v>
      </c>
      <c r="E644" s="14" t="s">
        <v>44</v>
      </c>
      <c r="F644" s="14" t="s">
        <v>1790</v>
      </c>
      <c r="G644" s="14" t="n">
        <f aca="false">+593991354926</f>
        <v>593991354926</v>
      </c>
      <c r="H644" s="14" t="s">
        <v>1791</v>
      </c>
      <c r="I644" s="14"/>
      <c r="J644" s="1"/>
      <c r="K644" s="1" t="s">
        <v>21</v>
      </c>
      <c r="L644" s="1"/>
      <c r="M644" s="1"/>
      <c r="N644" s="1"/>
      <c r="O644" s="1"/>
      <c r="P644" s="6" t="s">
        <v>21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21.75" hidden="false" customHeight="true" outlineLevel="0" collapsed="false">
      <c r="A645" s="4" t="n">
        <v>43481</v>
      </c>
      <c r="B645" s="8" t="s">
        <v>42</v>
      </c>
      <c r="C645" s="14" t="s">
        <v>15</v>
      </c>
      <c r="D645" s="14" t="s">
        <v>43</v>
      </c>
      <c r="E645" s="14" t="s">
        <v>44</v>
      </c>
      <c r="F645" s="14" t="s">
        <v>1792</v>
      </c>
      <c r="G645" s="14" t="n">
        <f aca="false">+593967418831</f>
        <v>593967418831</v>
      </c>
      <c r="H645" s="14" t="s">
        <v>1793</v>
      </c>
      <c r="I645" s="14"/>
      <c r="J645" s="1"/>
      <c r="K645" s="1" t="s">
        <v>21</v>
      </c>
      <c r="L645" s="1"/>
      <c r="M645" s="1"/>
      <c r="N645" s="1"/>
      <c r="O645" s="1"/>
      <c r="P645" s="6" t="s">
        <v>21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21.75" hidden="false" customHeight="true" outlineLevel="0" collapsed="false">
      <c r="A646" s="4" t="n">
        <v>43481</v>
      </c>
      <c r="B646" s="8" t="s">
        <v>42</v>
      </c>
      <c r="C646" s="14" t="s">
        <v>15</v>
      </c>
      <c r="D646" s="14" t="s">
        <v>43</v>
      </c>
      <c r="E646" s="14" t="s">
        <v>109</v>
      </c>
      <c r="F646" s="19" t="s">
        <v>1794</v>
      </c>
      <c r="G646" s="18" t="n">
        <v>988453788</v>
      </c>
      <c r="H646" s="26" t="s">
        <v>1795</v>
      </c>
      <c r="I646" s="26"/>
      <c r="J646" s="1"/>
      <c r="K646" s="1" t="s">
        <v>1796</v>
      </c>
      <c r="L646" s="1"/>
      <c r="M646" s="1"/>
      <c r="N646" s="1"/>
      <c r="O646" s="1"/>
      <c r="P646" s="6" t="s">
        <v>133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21.75" hidden="false" customHeight="true" outlineLevel="0" collapsed="false">
      <c r="A647" s="4" t="n">
        <v>43481</v>
      </c>
      <c r="B647" s="8" t="s">
        <v>42</v>
      </c>
      <c r="C647" s="14" t="s">
        <v>15</v>
      </c>
      <c r="D647" s="14" t="s">
        <v>43</v>
      </c>
      <c r="E647" s="14" t="s">
        <v>109</v>
      </c>
      <c r="F647" s="19" t="s">
        <v>1797</v>
      </c>
      <c r="G647" s="18" t="n">
        <v>961756052</v>
      </c>
      <c r="H647" s="18" t="s">
        <v>1798</v>
      </c>
      <c r="I647" s="18"/>
      <c r="J647" s="1"/>
      <c r="K647" s="1" t="s">
        <v>1799</v>
      </c>
      <c r="L647" s="1"/>
      <c r="M647" s="1"/>
      <c r="N647" s="1"/>
      <c r="O647" s="1"/>
      <c r="P647" s="6" t="s">
        <v>31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21.75" hidden="false" customHeight="true" outlineLevel="0" collapsed="false">
      <c r="A648" s="4" t="n">
        <v>43481</v>
      </c>
      <c r="B648" s="8" t="s">
        <v>42</v>
      </c>
      <c r="C648" s="14" t="s">
        <v>15</v>
      </c>
      <c r="D648" s="14" t="s">
        <v>43</v>
      </c>
      <c r="E648" s="14" t="s">
        <v>109</v>
      </c>
      <c r="F648" s="19" t="s">
        <v>1800</v>
      </c>
      <c r="G648" s="18" t="n">
        <v>989166418</v>
      </c>
      <c r="H648" s="18" t="s">
        <v>1801</v>
      </c>
      <c r="I648" s="18"/>
      <c r="J648" s="1"/>
      <c r="K648" s="1" t="s">
        <v>35</v>
      </c>
      <c r="L648" s="1"/>
      <c r="M648" s="1"/>
      <c r="N648" s="1"/>
      <c r="O648" s="1"/>
      <c r="P648" s="6" t="s">
        <v>133</v>
      </c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21.75" hidden="false" customHeight="true" outlineLevel="0" collapsed="false">
      <c r="A649" s="4" t="n">
        <v>43481</v>
      </c>
      <c r="B649" s="18" t="s">
        <v>166</v>
      </c>
      <c r="C649" s="14" t="s">
        <v>15</v>
      </c>
      <c r="D649" s="14" t="s">
        <v>16</v>
      </c>
      <c r="E649" s="14" t="s">
        <v>17</v>
      </c>
      <c r="F649" s="14" t="s">
        <v>1802</v>
      </c>
      <c r="G649" s="14" t="n">
        <f aca="false">+5930969407649</f>
        <v>5930969407649</v>
      </c>
      <c r="H649" s="14" t="s">
        <v>1803</v>
      </c>
      <c r="I649" s="14"/>
      <c r="J649" s="1"/>
      <c r="K649" s="1" t="s">
        <v>1804</v>
      </c>
      <c r="L649" s="1"/>
      <c r="M649" s="1"/>
      <c r="N649" s="1"/>
      <c r="O649" s="1"/>
      <c r="P649" s="6" t="s">
        <v>133</v>
      </c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21.75" hidden="false" customHeight="true" outlineLevel="0" collapsed="false">
      <c r="A650" s="4" t="n">
        <v>43481</v>
      </c>
      <c r="B650" s="18" t="s">
        <v>166</v>
      </c>
      <c r="C650" s="14" t="s">
        <v>15</v>
      </c>
      <c r="D650" s="14" t="s">
        <v>16</v>
      </c>
      <c r="E650" s="14" t="s">
        <v>17</v>
      </c>
      <c r="F650" s="14" t="s">
        <v>1805</v>
      </c>
      <c r="G650" s="14" t="n">
        <f aca="false">+593990803202</f>
        <v>593990803202</v>
      </c>
      <c r="H650" s="14" t="s">
        <v>1806</v>
      </c>
      <c r="I650" s="14"/>
      <c r="J650" s="1"/>
      <c r="K650" s="1" t="s">
        <v>1807</v>
      </c>
      <c r="L650" s="1"/>
      <c r="M650" s="1"/>
      <c r="N650" s="1"/>
      <c r="O650" s="1"/>
      <c r="P650" s="6" t="s">
        <v>31</v>
      </c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21.75" hidden="false" customHeight="true" outlineLevel="0" collapsed="false">
      <c r="A651" s="4" t="n">
        <v>43481</v>
      </c>
      <c r="B651" s="18" t="s">
        <v>166</v>
      </c>
      <c r="C651" s="14" t="s">
        <v>15</v>
      </c>
      <c r="D651" s="14" t="s">
        <v>16</v>
      </c>
      <c r="E651" s="14" t="s">
        <v>17</v>
      </c>
      <c r="F651" s="14" t="s">
        <v>1808</v>
      </c>
      <c r="G651" s="14" t="n">
        <f aca="false">+593989428353</f>
        <v>593989428353</v>
      </c>
      <c r="H651" s="14" t="s">
        <v>1809</v>
      </c>
      <c r="I651" s="14"/>
      <c r="J651" s="1"/>
      <c r="K651" s="1" t="s">
        <v>1810</v>
      </c>
      <c r="L651" s="1"/>
      <c r="M651" s="1"/>
      <c r="N651" s="1"/>
      <c r="O651" s="1"/>
      <c r="P651" s="6" t="s">
        <v>126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21.75" hidden="false" customHeight="true" outlineLevel="0" collapsed="false">
      <c r="A652" s="4" t="n">
        <v>43481</v>
      </c>
      <c r="B652" s="18" t="s">
        <v>166</v>
      </c>
      <c r="C652" s="14" t="s">
        <v>15</v>
      </c>
      <c r="D652" s="14" t="s">
        <v>16</v>
      </c>
      <c r="E652" s="14" t="s">
        <v>17</v>
      </c>
      <c r="F652" s="19" t="s">
        <v>1811</v>
      </c>
      <c r="G652" s="18" t="n">
        <v>990147645</v>
      </c>
      <c r="H652" s="18" t="s">
        <v>1812</v>
      </c>
      <c r="I652" s="18"/>
      <c r="J652" s="1"/>
      <c r="K652" s="1" t="s">
        <v>21</v>
      </c>
      <c r="L652" s="1"/>
      <c r="M652" s="1"/>
      <c r="N652" s="1"/>
      <c r="O652" s="1"/>
      <c r="P652" s="6" t="s">
        <v>21</v>
      </c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21.75" hidden="false" customHeight="true" outlineLevel="0" collapsed="false">
      <c r="A653" s="4" t="n">
        <v>43481</v>
      </c>
      <c r="B653" s="18" t="s">
        <v>166</v>
      </c>
      <c r="C653" s="14" t="s">
        <v>26</v>
      </c>
      <c r="D653" s="14" t="s">
        <v>16</v>
      </c>
      <c r="E653" s="14" t="s">
        <v>17</v>
      </c>
      <c r="F653" s="14" t="s">
        <v>1813</v>
      </c>
      <c r="G653" s="14" t="n">
        <f aca="false">+593982939354</f>
        <v>593982939354</v>
      </c>
      <c r="H653" s="14" t="s">
        <v>1814</v>
      </c>
      <c r="I653" s="14"/>
      <c r="J653" s="1"/>
      <c r="K653" s="1" t="s">
        <v>1369</v>
      </c>
      <c r="L653" s="1"/>
      <c r="M653" s="1"/>
      <c r="N653" s="1"/>
      <c r="O653" s="1"/>
      <c r="P653" s="6" t="s">
        <v>133</v>
      </c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21.75" hidden="false" customHeight="true" outlineLevel="0" collapsed="false">
      <c r="A654" s="4" t="n">
        <v>43481</v>
      </c>
      <c r="B654" s="18" t="s">
        <v>166</v>
      </c>
      <c r="C654" s="14" t="s">
        <v>15</v>
      </c>
      <c r="D654" s="14" t="s">
        <v>16</v>
      </c>
      <c r="E654" s="14" t="s">
        <v>17</v>
      </c>
      <c r="F654" s="14" t="s">
        <v>1815</v>
      </c>
      <c r="G654" s="14" t="n">
        <f aca="false">+593981041057</f>
        <v>593981041057</v>
      </c>
      <c r="H654" s="14" t="s">
        <v>1816</v>
      </c>
      <c r="I654" s="14"/>
      <c r="J654" s="1"/>
      <c r="K654" s="1" t="s">
        <v>1817</v>
      </c>
      <c r="L654" s="1"/>
      <c r="M654" s="1"/>
      <c r="N654" s="1"/>
      <c r="O654" s="1"/>
      <c r="P654" s="6" t="s">
        <v>133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21.75" hidden="false" customHeight="true" outlineLevel="0" collapsed="false">
      <c r="A655" s="4" t="n">
        <v>43481</v>
      </c>
      <c r="B655" s="18" t="s">
        <v>166</v>
      </c>
      <c r="C655" s="14" t="s">
        <v>15</v>
      </c>
      <c r="D655" s="14" t="s">
        <v>16</v>
      </c>
      <c r="E655" s="14" t="s">
        <v>17</v>
      </c>
      <c r="F655" s="14" t="s">
        <v>1818</v>
      </c>
      <c r="G655" s="14" t="n">
        <f aca="false">+593985712195</f>
        <v>593985712195</v>
      </c>
      <c r="H655" s="14" t="s">
        <v>1819</v>
      </c>
      <c r="I655" s="14"/>
      <c r="J655" s="1"/>
      <c r="K655" s="1" t="s">
        <v>21</v>
      </c>
      <c r="L655" s="1"/>
      <c r="M655" s="1"/>
      <c r="N655" s="1"/>
      <c r="O655" s="1"/>
      <c r="P655" s="6" t="s">
        <v>21</v>
      </c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21.75" hidden="false" customHeight="true" outlineLevel="0" collapsed="false">
      <c r="A656" s="4" t="n">
        <v>43481</v>
      </c>
      <c r="B656" s="18" t="s">
        <v>166</v>
      </c>
      <c r="C656" s="14" t="s">
        <v>15</v>
      </c>
      <c r="D656" s="14" t="s">
        <v>16</v>
      </c>
      <c r="E656" s="14" t="s">
        <v>17</v>
      </c>
      <c r="F656" s="14" t="s">
        <v>1820</v>
      </c>
      <c r="G656" s="14" t="n">
        <f aca="false">+593959177957</f>
        <v>593959177957</v>
      </c>
      <c r="H656" s="14" t="s">
        <v>1821</v>
      </c>
      <c r="I656" s="14"/>
      <c r="J656" s="1"/>
      <c r="K656" s="1" t="s">
        <v>1822</v>
      </c>
      <c r="L656" s="1"/>
      <c r="M656" s="1"/>
      <c r="N656" s="1"/>
      <c r="O656" s="1"/>
      <c r="P656" s="6" t="s">
        <v>133</v>
      </c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21.75" hidden="false" customHeight="true" outlineLevel="0" collapsed="false">
      <c r="A657" s="4" t="n">
        <v>43481</v>
      </c>
      <c r="B657" s="14" t="s">
        <v>323</v>
      </c>
      <c r="C657" s="14" t="s">
        <v>15</v>
      </c>
      <c r="D657" s="14" t="s">
        <v>43</v>
      </c>
      <c r="E657" s="14" t="s">
        <v>109</v>
      </c>
      <c r="F657" s="14" t="s">
        <v>1823</v>
      </c>
      <c r="G657" s="14" t="n">
        <f aca="false">+593980388983</f>
        <v>593980388983</v>
      </c>
      <c r="H657" s="14" t="s">
        <v>1824</v>
      </c>
      <c r="I657" s="14"/>
      <c r="J657" s="1"/>
      <c r="K657" s="1" t="s">
        <v>21</v>
      </c>
      <c r="L657" s="1"/>
      <c r="M657" s="1"/>
      <c r="N657" s="1"/>
      <c r="O657" s="1"/>
      <c r="P657" s="6" t="s">
        <v>21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21.75" hidden="false" customHeight="true" outlineLevel="0" collapsed="false">
      <c r="A658" s="4" t="n">
        <v>43481</v>
      </c>
      <c r="B658" s="14" t="s">
        <v>1106</v>
      </c>
      <c r="C658" s="14" t="s">
        <v>15</v>
      </c>
      <c r="D658" s="14" t="s">
        <v>43</v>
      </c>
      <c r="E658" s="14" t="s">
        <v>109</v>
      </c>
      <c r="F658" s="14" t="s">
        <v>1825</v>
      </c>
      <c r="G658" s="14" t="n">
        <f aca="false">+5930939093414</f>
        <v>5930939093414</v>
      </c>
      <c r="H658" s="14" t="s">
        <v>1826</v>
      </c>
      <c r="I658" s="14"/>
      <c r="J658" s="1"/>
      <c r="K658" s="1" t="s">
        <v>107</v>
      </c>
      <c r="L658" s="1"/>
      <c r="M658" s="1"/>
      <c r="N658" s="1"/>
      <c r="O658" s="1"/>
      <c r="P658" s="6" t="s">
        <v>133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21.75" hidden="false" customHeight="true" outlineLevel="0" collapsed="false">
      <c r="A659" s="4" t="n">
        <v>43481</v>
      </c>
      <c r="B659" s="14" t="s">
        <v>1106</v>
      </c>
      <c r="C659" s="14" t="s">
        <v>15</v>
      </c>
      <c r="D659" s="14" t="s">
        <v>43</v>
      </c>
      <c r="E659" s="14" t="s">
        <v>109</v>
      </c>
      <c r="F659" s="14" t="s">
        <v>1827</v>
      </c>
      <c r="G659" s="14" t="n">
        <f aca="false">+593983492449</f>
        <v>593983492449</v>
      </c>
      <c r="H659" s="14" t="s">
        <v>1828</v>
      </c>
      <c r="I659" s="14"/>
      <c r="J659" s="1"/>
      <c r="K659" s="1" t="s">
        <v>21</v>
      </c>
      <c r="L659" s="1"/>
      <c r="M659" s="1"/>
      <c r="N659" s="1"/>
      <c r="O659" s="1"/>
      <c r="P659" s="6" t="s">
        <v>21</v>
      </c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21.75" hidden="false" customHeight="true" outlineLevel="0" collapsed="false">
      <c r="A660" s="4" t="n">
        <v>43481</v>
      </c>
      <c r="B660" s="14" t="s">
        <v>1106</v>
      </c>
      <c r="C660" s="14" t="s">
        <v>15</v>
      </c>
      <c r="D660" s="14" t="s">
        <v>43</v>
      </c>
      <c r="E660" s="14" t="s">
        <v>109</v>
      </c>
      <c r="F660" s="14" t="s">
        <v>1829</v>
      </c>
      <c r="G660" s="14" t="n">
        <f aca="false">+593994987387</f>
        <v>593994987387</v>
      </c>
      <c r="H660" s="14" t="s">
        <v>1830</v>
      </c>
      <c r="I660" s="14"/>
      <c r="J660" s="1"/>
      <c r="K660" s="1" t="s">
        <v>21</v>
      </c>
      <c r="L660" s="1"/>
      <c r="M660" s="1"/>
      <c r="N660" s="1"/>
      <c r="O660" s="1"/>
      <c r="P660" s="6" t="s">
        <v>21</v>
      </c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21.75" hidden="false" customHeight="true" outlineLevel="0" collapsed="false">
      <c r="A661" s="4" t="n">
        <v>43481</v>
      </c>
      <c r="B661" s="14" t="s">
        <v>1831</v>
      </c>
      <c r="C661" s="14" t="s">
        <v>15</v>
      </c>
      <c r="D661" s="14" t="s">
        <v>43</v>
      </c>
      <c r="E661" s="14" t="s">
        <v>109</v>
      </c>
      <c r="F661" s="14" t="s">
        <v>1832</v>
      </c>
      <c r="G661" s="14" t="n">
        <f aca="false">+593967225666</f>
        <v>593967225666</v>
      </c>
      <c r="H661" s="14" t="s">
        <v>1833</v>
      </c>
      <c r="I661" s="14"/>
      <c r="J661" s="1"/>
      <c r="K661" s="1" t="s">
        <v>21</v>
      </c>
      <c r="L661" s="1"/>
      <c r="M661" s="1"/>
      <c r="N661" s="1"/>
      <c r="O661" s="1"/>
      <c r="P661" s="6" t="s">
        <v>21</v>
      </c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21.75" hidden="false" customHeight="true" outlineLevel="0" collapsed="false">
      <c r="A662" s="4" t="n">
        <v>43481</v>
      </c>
      <c r="B662" s="14" t="s">
        <v>1831</v>
      </c>
      <c r="C662" s="14" t="s">
        <v>15</v>
      </c>
      <c r="D662" s="14" t="s">
        <v>43</v>
      </c>
      <c r="E662" s="14" t="s">
        <v>109</v>
      </c>
      <c r="F662" s="14" t="s">
        <v>1834</v>
      </c>
      <c r="G662" s="20" t="n">
        <v>593969783999</v>
      </c>
      <c r="H662" s="14" t="s">
        <v>1835</v>
      </c>
      <c r="I662" s="14"/>
      <c r="J662" s="1"/>
      <c r="K662" s="1" t="s">
        <v>1836</v>
      </c>
      <c r="L662" s="1"/>
      <c r="M662" s="1"/>
      <c r="N662" s="1"/>
      <c r="O662" s="1"/>
      <c r="P662" s="6" t="s">
        <v>133</v>
      </c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21.75" hidden="false" customHeight="true" outlineLevel="0" collapsed="false">
      <c r="A663" s="4" t="n">
        <v>43481</v>
      </c>
      <c r="B663" s="14" t="s">
        <v>1478</v>
      </c>
      <c r="C663" s="14" t="s">
        <v>15</v>
      </c>
      <c r="D663" s="14" t="s">
        <v>43</v>
      </c>
      <c r="E663" s="14" t="s">
        <v>109</v>
      </c>
      <c r="F663" s="14" t="s">
        <v>1837</v>
      </c>
      <c r="G663" s="14" t="n">
        <f aca="false">+593968460092</f>
        <v>593968460092</v>
      </c>
      <c r="H663" s="14" t="s">
        <v>1838</v>
      </c>
      <c r="I663" s="14"/>
      <c r="J663" s="1"/>
      <c r="K663" s="1" t="s">
        <v>263</v>
      </c>
      <c r="L663" s="1"/>
      <c r="M663" s="1"/>
      <c r="N663" s="1"/>
      <c r="O663" s="1"/>
      <c r="P663" s="6" t="s">
        <v>341</v>
      </c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21.75" hidden="false" customHeight="true" outlineLevel="0" collapsed="false">
      <c r="A664" s="4" t="n">
        <v>43481</v>
      </c>
      <c r="B664" s="14" t="s">
        <v>1478</v>
      </c>
      <c r="C664" s="14" t="s">
        <v>15</v>
      </c>
      <c r="D664" s="14" t="s">
        <v>43</v>
      </c>
      <c r="E664" s="14" t="s">
        <v>109</v>
      </c>
      <c r="F664" s="14" t="s">
        <v>1839</v>
      </c>
      <c r="G664" s="14" t="n">
        <f aca="false">+593981044224</f>
        <v>593981044224</v>
      </c>
      <c r="H664" s="14" t="s">
        <v>1840</v>
      </c>
      <c r="I664" s="14"/>
      <c r="J664" s="1"/>
      <c r="K664" s="1" t="s">
        <v>1841</v>
      </c>
      <c r="L664" s="1"/>
      <c r="M664" s="1"/>
      <c r="N664" s="1"/>
      <c r="O664" s="1"/>
      <c r="P664" s="6" t="s">
        <v>126</v>
      </c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21.75" hidden="false" customHeight="true" outlineLevel="0" collapsed="false">
      <c r="A665" s="4" t="n">
        <v>43481</v>
      </c>
      <c r="B665" s="14" t="s">
        <v>1478</v>
      </c>
      <c r="C665" s="14" t="s">
        <v>15</v>
      </c>
      <c r="D665" s="14" t="s">
        <v>43</v>
      </c>
      <c r="E665" s="14" t="s">
        <v>109</v>
      </c>
      <c r="F665" s="14" t="s">
        <v>1842</v>
      </c>
      <c r="G665" s="14" t="n">
        <f aca="false">+593959247212</f>
        <v>593959247212</v>
      </c>
      <c r="H665" s="14" t="s">
        <v>1843</v>
      </c>
      <c r="I665" s="14"/>
      <c r="J665" s="1"/>
      <c r="K665" s="1" t="s">
        <v>1844</v>
      </c>
      <c r="L665" s="1"/>
      <c r="M665" s="1"/>
      <c r="N665" s="1"/>
      <c r="O665" s="1"/>
      <c r="P665" s="6" t="s">
        <v>133</v>
      </c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21.75" hidden="false" customHeight="true" outlineLevel="0" collapsed="false">
      <c r="A666" s="4" t="n">
        <v>43481</v>
      </c>
      <c r="B666" s="18" t="s">
        <v>1478</v>
      </c>
      <c r="C666" s="14" t="s">
        <v>15</v>
      </c>
      <c r="D666" s="14" t="s">
        <v>43</v>
      </c>
      <c r="E666" s="14" t="s">
        <v>109</v>
      </c>
      <c r="F666" s="19" t="s">
        <v>1845</v>
      </c>
      <c r="G666" s="18" t="n">
        <v>960538937</v>
      </c>
      <c r="H666" s="18" t="s">
        <v>1846</v>
      </c>
      <c r="I666" s="18"/>
      <c r="J666" s="1"/>
      <c r="K666" s="1" t="s">
        <v>21</v>
      </c>
      <c r="L666" s="1"/>
      <c r="M666" s="1"/>
      <c r="N666" s="1"/>
      <c r="O666" s="1"/>
      <c r="P666" s="6" t="s">
        <v>21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21.75" hidden="false" customHeight="true" outlineLevel="0" collapsed="false">
      <c r="A667" s="4" t="n">
        <v>43481</v>
      </c>
      <c r="B667" s="18" t="s">
        <v>1478</v>
      </c>
      <c r="C667" s="14" t="s">
        <v>15</v>
      </c>
      <c r="D667" s="14" t="s">
        <v>43</v>
      </c>
      <c r="E667" s="14" t="s">
        <v>109</v>
      </c>
      <c r="F667" s="19" t="s">
        <v>1847</v>
      </c>
      <c r="G667" s="18" t="n">
        <v>988778766</v>
      </c>
      <c r="H667" s="18" t="s">
        <v>1848</v>
      </c>
      <c r="I667" s="18"/>
      <c r="J667" s="1"/>
      <c r="K667" s="1" t="s">
        <v>1065</v>
      </c>
      <c r="L667" s="1"/>
      <c r="M667" s="1"/>
      <c r="N667" s="1"/>
      <c r="O667" s="1"/>
      <c r="P667" s="6" t="s">
        <v>133</v>
      </c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21.75" hidden="false" customHeight="true" outlineLevel="0" collapsed="false">
      <c r="A668" s="4" t="n">
        <v>43481</v>
      </c>
      <c r="B668" s="14" t="s">
        <v>1478</v>
      </c>
      <c r="C668" s="14" t="s">
        <v>15</v>
      </c>
      <c r="D668" s="14" t="s">
        <v>43</v>
      </c>
      <c r="E668" s="14" t="s">
        <v>109</v>
      </c>
      <c r="F668" s="14" t="s">
        <v>1849</v>
      </c>
      <c r="G668" s="14" t="n">
        <f aca="false">+5930969722464</f>
        <v>5930969722464</v>
      </c>
      <c r="H668" s="14" t="s">
        <v>1850</v>
      </c>
      <c r="I668" s="14"/>
      <c r="J668" s="1"/>
      <c r="K668" s="1" t="s">
        <v>21</v>
      </c>
      <c r="L668" s="1"/>
      <c r="M668" s="1"/>
      <c r="N668" s="1"/>
      <c r="O668" s="1"/>
      <c r="P668" s="6" t="s">
        <v>21</v>
      </c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21.75" hidden="false" customHeight="true" outlineLevel="0" collapsed="false">
      <c r="A669" s="4" t="n">
        <v>43481</v>
      </c>
      <c r="B669" s="14" t="s">
        <v>108</v>
      </c>
      <c r="C669" s="14" t="s">
        <v>26</v>
      </c>
      <c r="D669" s="14" t="s">
        <v>16</v>
      </c>
      <c r="E669" s="5" t="s">
        <v>109</v>
      </c>
      <c r="F669" s="14" t="s">
        <v>1851</v>
      </c>
      <c r="G669" s="14" t="n">
        <f aca="false">+593988772674</f>
        <v>593988772674</v>
      </c>
      <c r="H669" s="14" t="s">
        <v>1852</v>
      </c>
      <c r="I669" s="14"/>
      <c r="J669" s="1"/>
      <c r="K669" s="1" t="s">
        <v>21</v>
      </c>
      <c r="L669" s="1"/>
      <c r="M669" s="1"/>
      <c r="N669" s="1"/>
      <c r="O669" s="1"/>
      <c r="P669" s="6" t="s">
        <v>21</v>
      </c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21.75" hidden="false" customHeight="true" outlineLevel="0" collapsed="false">
      <c r="A670" s="4" t="n">
        <v>43481</v>
      </c>
      <c r="B670" s="18" t="s">
        <v>48</v>
      </c>
      <c r="C670" s="14" t="s">
        <v>15</v>
      </c>
      <c r="D670" s="14" t="s">
        <v>43</v>
      </c>
      <c r="E670" s="14" t="s">
        <v>44</v>
      </c>
      <c r="F670" s="14" t="s">
        <v>1853</v>
      </c>
      <c r="G670" s="14" t="n">
        <f aca="false">+5930969164882</f>
        <v>5930969164882</v>
      </c>
      <c r="H670" s="14" t="s">
        <v>1854</v>
      </c>
      <c r="I670" s="14"/>
      <c r="J670" s="1"/>
      <c r="K670" s="1" t="s">
        <v>21</v>
      </c>
      <c r="L670" s="1"/>
      <c r="M670" s="1"/>
      <c r="N670" s="1"/>
      <c r="O670" s="1"/>
      <c r="P670" s="6" t="s">
        <v>21</v>
      </c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21.75" hidden="false" customHeight="true" outlineLevel="0" collapsed="false">
      <c r="A671" s="4" t="n">
        <v>43481</v>
      </c>
      <c r="B671" s="18" t="s">
        <v>48</v>
      </c>
      <c r="C671" s="14" t="s">
        <v>15</v>
      </c>
      <c r="D671" s="14" t="s">
        <v>43</v>
      </c>
      <c r="E671" s="14" t="s">
        <v>44</v>
      </c>
      <c r="F671" s="14" t="s">
        <v>1855</v>
      </c>
      <c r="G671" s="14" t="n">
        <f aca="false">+593987450272</f>
        <v>593987450272</v>
      </c>
      <c r="H671" s="14" t="s">
        <v>1856</v>
      </c>
      <c r="I671" s="14"/>
      <c r="J671" s="1"/>
      <c r="K671" s="1" t="s">
        <v>1857</v>
      </c>
      <c r="L671" s="1"/>
      <c r="M671" s="1"/>
      <c r="N671" s="1"/>
      <c r="O671" s="1"/>
      <c r="P671" s="6" t="s">
        <v>133</v>
      </c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21.75" hidden="false" customHeight="true" outlineLevel="0" collapsed="false">
      <c r="A672" s="4" t="n">
        <v>43481</v>
      </c>
      <c r="B672" s="18" t="s">
        <v>48</v>
      </c>
      <c r="C672" s="14" t="s">
        <v>26</v>
      </c>
      <c r="D672" s="14" t="s">
        <v>43</v>
      </c>
      <c r="E672" s="14" t="s">
        <v>44</v>
      </c>
      <c r="F672" s="14" t="s">
        <v>1858</v>
      </c>
      <c r="G672" s="14" t="n">
        <f aca="false">+593982776368</f>
        <v>593982776368</v>
      </c>
      <c r="H672" s="14" t="s">
        <v>1859</v>
      </c>
      <c r="I672" s="14"/>
      <c r="J672" s="1"/>
      <c r="K672" s="1" t="s">
        <v>21</v>
      </c>
      <c r="L672" s="1"/>
      <c r="M672" s="1"/>
      <c r="N672" s="1"/>
      <c r="O672" s="1"/>
      <c r="P672" s="6" t="s">
        <v>21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21.75" hidden="false" customHeight="true" outlineLevel="0" collapsed="false">
      <c r="A673" s="4" t="n">
        <v>43481</v>
      </c>
      <c r="B673" s="18" t="s">
        <v>48</v>
      </c>
      <c r="C673" s="14" t="s">
        <v>15</v>
      </c>
      <c r="D673" s="14" t="s">
        <v>43</v>
      </c>
      <c r="E673" s="14" t="s">
        <v>44</v>
      </c>
      <c r="F673" s="14" t="s">
        <v>1860</v>
      </c>
      <c r="G673" s="14" t="n">
        <f aca="false">+593992726999</f>
        <v>593992726999</v>
      </c>
      <c r="H673" s="14" t="s">
        <v>1861</v>
      </c>
      <c r="I673" s="14"/>
      <c r="J673" s="1"/>
      <c r="K673" s="1" t="s">
        <v>509</v>
      </c>
      <c r="L673" s="1"/>
      <c r="M673" s="1"/>
      <c r="N673" s="1"/>
      <c r="O673" s="1"/>
      <c r="P673" s="6" t="s">
        <v>133</v>
      </c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21.75" hidden="false" customHeight="true" outlineLevel="0" collapsed="false">
      <c r="A674" s="4" t="n">
        <v>43481</v>
      </c>
      <c r="B674" s="18" t="s">
        <v>48</v>
      </c>
      <c r="C674" s="14" t="s">
        <v>15</v>
      </c>
      <c r="D674" s="14" t="s">
        <v>43</v>
      </c>
      <c r="E674" s="14" t="s">
        <v>44</v>
      </c>
      <c r="F674" s="14" t="s">
        <v>1862</v>
      </c>
      <c r="G674" s="14" t="n">
        <f aca="false">+593999766273</f>
        <v>593999766273</v>
      </c>
      <c r="H674" s="14" t="s">
        <v>1863</v>
      </c>
      <c r="I674" s="14"/>
      <c r="J674" s="1"/>
      <c r="K674" s="1" t="s">
        <v>1864</v>
      </c>
      <c r="L674" s="1"/>
      <c r="M674" s="1"/>
      <c r="N674" s="1"/>
      <c r="O674" s="1"/>
      <c r="P674" s="6" t="s">
        <v>751</v>
      </c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21.75" hidden="false" customHeight="true" outlineLevel="0" collapsed="false">
      <c r="A675" s="4" t="n">
        <v>43481</v>
      </c>
      <c r="B675" s="18" t="s">
        <v>48</v>
      </c>
      <c r="C675" s="14" t="s">
        <v>15</v>
      </c>
      <c r="D675" s="14" t="s">
        <v>43</v>
      </c>
      <c r="E675" s="14" t="s">
        <v>44</v>
      </c>
      <c r="F675" s="19" t="s">
        <v>1865</v>
      </c>
      <c r="G675" s="18" t="n">
        <v>958926114</v>
      </c>
      <c r="H675" s="18" t="s">
        <v>1866</v>
      </c>
      <c r="I675" s="18"/>
      <c r="J675" s="1"/>
      <c r="K675" s="1" t="s">
        <v>1867</v>
      </c>
      <c r="L675" s="1"/>
      <c r="M675" s="1"/>
      <c r="N675" s="1"/>
      <c r="O675" s="1"/>
      <c r="P675" s="6" t="s">
        <v>133</v>
      </c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21.75" hidden="false" customHeight="true" outlineLevel="0" collapsed="false">
      <c r="A676" s="4" t="n">
        <v>43481</v>
      </c>
      <c r="B676" s="14" t="s">
        <v>48</v>
      </c>
      <c r="C676" s="14" t="s">
        <v>15</v>
      </c>
      <c r="D676" s="14" t="s">
        <v>43</v>
      </c>
      <c r="E676" s="14" t="s">
        <v>44</v>
      </c>
      <c r="F676" s="14" t="s">
        <v>1868</v>
      </c>
      <c r="G676" s="14" t="n">
        <f aca="false">+593989311191</f>
        <v>593989311191</v>
      </c>
      <c r="H676" s="14" t="s">
        <v>1869</v>
      </c>
      <c r="I676" s="14"/>
      <c r="J676" s="1"/>
      <c r="K676" s="1" t="s">
        <v>21</v>
      </c>
      <c r="L676" s="1"/>
      <c r="M676" s="1"/>
      <c r="N676" s="1"/>
      <c r="O676" s="1"/>
      <c r="P676" s="6" t="s">
        <v>21</v>
      </c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21.75" hidden="false" customHeight="true" outlineLevel="0" collapsed="false">
      <c r="A677" s="4" t="n">
        <v>43481</v>
      </c>
      <c r="B677" s="14" t="s">
        <v>48</v>
      </c>
      <c r="C677" s="14" t="s">
        <v>15</v>
      </c>
      <c r="D677" s="14" t="s">
        <v>43</v>
      </c>
      <c r="E677" s="14" t="s">
        <v>44</v>
      </c>
      <c r="F677" s="14" t="s">
        <v>1870</v>
      </c>
      <c r="G677" s="14" t="n">
        <f aca="false">+593969542312</f>
        <v>593969542312</v>
      </c>
      <c r="H677" s="14" t="s">
        <v>1871</v>
      </c>
      <c r="I677" s="14"/>
      <c r="J677" s="1"/>
      <c r="K677" s="1" t="s">
        <v>1872</v>
      </c>
      <c r="L677" s="1"/>
      <c r="M677" s="1"/>
      <c r="N677" s="1"/>
      <c r="O677" s="1"/>
      <c r="P677" s="6" t="s">
        <v>133</v>
      </c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21.75" hidden="false" customHeight="true" outlineLevel="0" collapsed="false">
      <c r="A678" s="4" t="n">
        <v>43481</v>
      </c>
      <c r="B678" s="14" t="s">
        <v>48</v>
      </c>
      <c r="C678" s="14" t="s">
        <v>26</v>
      </c>
      <c r="D678" s="14" t="s">
        <v>43</v>
      </c>
      <c r="E678" s="14" t="s">
        <v>44</v>
      </c>
      <c r="F678" s="14" t="s">
        <v>1873</v>
      </c>
      <c r="G678" s="14" t="n">
        <f aca="false">+593967698093</f>
        <v>593967698093</v>
      </c>
      <c r="H678" s="14" t="s">
        <v>1874</v>
      </c>
      <c r="I678" s="14"/>
      <c r="J678" s="1"/>
      <c r="K678" s="1" t="s">
        <v>1875</v>
      </c>
      <c r="L678" s="1"/>
      <c r="M678" s="1"/>
      <c r="N678" s="1"/>
      <c r="O678" s="1"/>
      <c r="P678" s="6" t="s">
        <v>133</v>
      </c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21.75" hidden="false" customHeight="true" outlineLevel="0" collapsed="false">
      <c r="A679" s="4" t="n">
        <v>43481</v>
      </c>
      <c r="B679" s="14" t="s">
        <v>48</v>
      </c>
      <c r="C679" s="14" t="s">
        <v>15</v>
      </c>
      <c r="D679" s="14" t="s">
        <v>43</v>
      </c>
      <c r="E679" s="14" t="s">
        <v>44</v>
      </c>
      <c r="F679" s="14" t="s">
        <v>1876</v>
      </c>
      <c r="G679" s="14" t="n">
        <f aca="false">+593991398734</f>
        <v>593991398734</v>
      </c>
      <c r="H679" s="14" t="s">
        <v>1877</v>
      </c>
      <c r="I679" s="14"/>
      <c r="J679" s="1"/>
      <c r="K679" s="1" t="s">
        <v>1878</v>
      </c>
      <c r="L679" s="1"/>
      <c r="M679" s="1"/>
      <c r="N679" s="1"/>
      <c r="O679" s="1"/>
      <c r="P679" s="6" t="s">
        <v>31</v>
      </c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21.75" hidden="false" customHeight="true" outlineLevel="0" collapsed="false">
      <c r="A680" s="4" t="n">
        <v>43481</v>
      </c>
      <c r="B680" s="14" t="s">
        <v>48</v>
      </c>
      <c r="C680" s="14" t="s">
        <v>26</v>
      </c>
      <c r="D680" s="14" t="s">
        <v>43</v>
      </c>
      <c r="E680" s="14" t="s">
        <v>109</v>
      </c>
      <c r="F680" s="14" t="s">
        <v>1879</v>
      </c>
      <c r="G680" s="14" t="n">
        <f aca="false">+593967390790</f>
        <v>593967390790</v>
      </c>
      <c r="H680" s="14" t="s">
        <v>1880</v>
      </c>
      <c r="I680" s="14"/>
      <c r="J680" s="1"/>
      <c r="K680" s="1" t="s">
        <v>21</v>
      </c>
      <c r="L680" s="1"/>
      <c r="M680" s="1"/>
      <c r="N680" s="1"/>
      <c r="O680" s="1"/>
      <c r="P680" s="6" t="s">
        <v>21</v>
      </c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21.75" hidden="false" customHeight="true" outlineLevel="0" collapsed="false">
      <c r="A681" s="4" t="n">
        <v>43481</v>
      </c>
      <c r="B681" s="14" t="s">
        <v>48</v>
      </c>
      <c r="C681" s="14" t="s">
        <v>15</v>
      </c>
      <c r="D681" s="14" t="s">
        <v>43</v>
      </c>
      <c r="E681" s="14" t="s">
        <v>109</v>
      </c>
      <c r="F681" s="14" t="s">
        <v>1881</v>
      </c>
      <c r="G681" s="14" t="n">
        <f aca="false">+593072650173</f>
        <v>593072650173</v>
      </c>
      <c r="H681" s="14" t="s">
        <v>1882</v>
      </c>
      <c r="I681" s="14"/>
      <c r="J681" s="1"/>
      <c r="K681" s="1" t="s">
        <v>21</v>
      </c>
      <c r="L681" s="1"/>
      <c r="M681" s="1"/>
      <c r="N681" s="1"/>
      <c r="O681" s="1"/>
      <c r="P681" s="6" t="s">
        <v>21</v>
      </c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21.75" hidden="false" customHeight="true" outlineLevel="0" collapsed="false">
      <c r="A682" s="4" t="n">
        <v>43481</v>
      </c>
      <c r="B682" s="14" t="s">
        <v>48</v>
      </c>
      <c r="C682" s="14" t="s">
        <v>15</v>
      </c>
      <c r="D682" s="14" t="s">
        <v>43</v>
      </c>
      <c r="E682" s="14" t="s">
        <v>109</v>
      </c>
      <c r="F682" s="14" t="s">
        <v>1883</v>
      </c>
      <c r="G682" s="14" t="n">
        <f aca="false">+593967189738</f>
        <v>593967189738</v>
      </c>
      <c r="H682" s="14" t="s">
        <v>1884</v>
      </c>
      <c r="I682" s="14"/>
      <c r="J682" s="1"/>
      <c r="K682" s="1" t="s">
        <v>21</v>
      </c>
      <c r="L682" s="1"/>
      <c r="M682" s="1"/>
      <c r="N682" s="1"/>
      <c r="O682" s="1"/>
      <c r="P682" s="6" t="s">
        <v>21</v>
      </c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21.75" hidden="false" customHeight="true" outlineLevel="0" collapsed="false">
      <c r="A683" s="4" t="n">
        <v>43481</v>
      </c>
      <c r="B683" s="14" t="s">
        <v>48</v>
      </c>
      <c r="C683" s="14" t="s">
        <v>15</v>
      </c>
      <c r="D683" s="14" t="s">
        <v>43</v>
      </c>
      <c r="E683" s="14" t="s">
        <v>109</v>
      </c>
      <c r="F683" s="14" t="s">
        <v>1885</v>
      </c>
      <c r="G683" s="14" t="n">
        <f aca="false">+593967547643</f>
        <v>593967547643</v>
      </c>
      <c r="H683" s="14" t="s">
        <v>1886</v>
      </c>
      <c r="I683" s="14"/>
      <c r="J683" s="1"/>
      <c r="K683" s="1" t="s">
        <v>21</v>
      </c>
      <c r="L683" s="1"/>
      <c r="M683" s="1"/>
      <c r="N683" s="1"/>
      <c r="O683" s="1"/>
      <c r="P683" s="6" t="s">
        <v>21</v>
      </c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21.75" hidden="false" customHeight="true" outlineLevel="0" collapsed="false">
      <c r="A684" s="4" t="n">
        <v>43481</v>
      </c>
      <c r="B684" s="14" t="s">
        <v>48</v>
      </c>
      <c r="C684" s="14" t="s">
        <v>15</v>
      </c>
      <c r="D684" s="14" t="s">
        <v>43</v>
      </c>
      <c r="E684" s="14" t="s">
        <v>109</v>
      </c>
      <c r="F684" s="14" t="s">
        <v>1887</v>
      </c>
      <c r="G684" s="14" t="n">
        <f aca="false">+593997481149</f>
        <v>593997481149</v>
      </c>
      <c r="H684" s="14" t="s">
        <v>1888</v>
      </c>
      <c r="I684" s="14"/>
      <c r="J684" s="1"/>
      <c r="K684" s="1" t="s">
        <v>1889</v>
      </c>
      <c r="L684" s="1"/>
      <c r="M684" s="1"/>
      <c r="N684" s="1"/>
      <c r="O684" s="1"/>
      <c r="P684" s="6" t="s">
        <v>133</v>
      </c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21.75" hidden="false" customHeight="true" outlineLevel="0" collapsed="false">
      <c r="A685" s="4" t="n">
        <v>43481</v>
      </c>
      <c r="B685" s="14" t="s">
        <v>48</v>
      </c>
      <c r="C685" s="14" t="s">
        <v>15</v>
      </c>
      <c r="D685" s="14" t="s">
        <v>43</v>
      </c>
      <c r="E685" s="14" t="s">
        <v>109</v>
      </c>
      <c r="F685" s="14" t="s">
        <v>1890</v>
      </c>
      <c r="G685" s="14" t="n">
        <f aca="false">+593967573440</f>
        <v>593967573440</v>
      </c>
      <c r="H685" s="14" t="s">
        <v>1891</v>
      </c>
      <c r="I685" s="14"/>
      <c r="J685" s="1"/>
      <c r="K685" s="1" t="s">
        <v>21</v>
      </c>
      <c r="L685" s="1"/>
      <c r="M685" s="1"/>
      <c r="N685" s="1"/>
      <c r="O685" s="1"/>
      <c r="P685" s="6" t="s">
        <v>21</v>
      </c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21.75" hidden="false" customHeight="true" outlineLevel="0" collapsed="false">
      <c r="A686" s="4" t="n">
        <v>43481</v>
      </c>
      <c r="B686" s="14" t="s">
        <v>48</v>
      </c>
      <c r="C686" s="14" t="s">
        <v>15</v>
      </c>
      <c r="D686" s="14" t="s">
        <v>43</v>
      </c>
      <c r="E686" s="14" t="s">
        <v>109</v>
      </c>
      <c r="F686" s="14" t="s">
        <v>1892</v>
      </c>
      <c r="G686" s="14" t="n">
        <f aca="false">+5930989371078</f>
        <v>5930989371078</v>
      </c>
      <c r="H686" s="14" t="s">
        <v>1893</v>
      </c>
      <c r="I686" s="14"/>
      <c r="J686" s="1"/>
      <c r="K686" s="1" t="s">
        <v>21</v>
      </c>
      <c r="L686" s="1"/>
      <c r="M686" s="1"/>
      <c r="N686" s="1"/>
      <c r="O686" s="1"/>
      <c r="P686" s="6" t="s">
        <v>21</v>
      </c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21.75" hidden="false" customHeight="true" outlineLevel="0" collapsed="false">
      <c r="A687" s="4" t="n">
        <v>43481</v>
      </c>
      <c r="B687" s="14" t="s">
        <v>48</v>
      </c>
      <c r="C687" s="14" t="s">
        <v>15</v>
      </c>
      <c r="D687" s="14" t="s">
        <v>43</v>
      </c>
      <c r="E687" s="14" t="s">
        <v>109</v>
      </c>
      <c r="F687" s="14" t="s">
        <v>1894</v>
      </c>
      <c r="G687" s="14" t="n">
        <f aca="false">+593939756232</f>
        <v>593939756232</v>
      </c>
      <c r="H687" s="14" t="s">
        <v>1895</v>
      </c>
      <c r="I687" s="14"/>
      <c r="J687" s="1"/>
      <c r="K687" s="1" t="s">
        <v>1896</v>
      </c>
      <c r="L687" s="1"/>
      <c r="M687" s="1"/>
      <c r="N687" s="1"/>
      <c r="O687" s="1"/>
      <c r="P687" s="6" t="s">
        <v>31</v>
      </c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21.75" hidden="false" customHeight="true" outlineLevel="0" collapsed="false">
      <c r="A688" s="4" t="n">
        <v>43481</v>
      </c>
      <c r="B688" s="14" t="s">
        <v>48</v>
      </c>
      <c r="C688" s="14" t="s">
        <v>15</v>
      </c>
      <c r="D688" s="14" t="s">
        <v>43</v>
      </c>
      <c r="E688" s="14" t="s">
        <v>109</v>
      </c>
      <c r="F688" s="14" t="s">
        <v>1897</v>
      </c>
      <c r="G688" s="14" t="n">
        <f aca="false">+5930959928682</f>
        <v>5930959928682</v>
      </c>
      <c r="H688" s="14" t="s">
        <v>1898</v>
      </c>
      <c r="I688" s="14"/>
      <c r="J688" s="1"/>
      <c r="K688" s="1" t="s">
        <v>21</v>
      </c>
      <c r="L688" s="1"/>
      <c r="M688" s="1"/>
      <c r="N688" s="1"/>
      <c r="O688" s="1"/>
      <c r="P688" s="6" t="s">
        <v>21</v>
      </c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21.75" hidden="false" customHeight="true" outlineLevel="0" collapsed="false">
      <c r="A689" s="4" t="n">
        <v>43481</v>
      </c>
      <c r="B689" s="14" t="s">
        <v>48</v>
      </c>
      <c r="C689" s="14" t="s">
        <v>15</v>
      </c>
      <c r="D689" s="14" t="s">
        <v>43</v>
      </c>
      <c r="E689" s="14" t="s">
        <v>109</v>
      </c>
      <c r="F689" s="14" t="s">
        <v>1899</v>
      </c>
      <c r="G689" s="14" t="n">
        <f aca="false">+593981793567</f>
        <v>593981793567</v>
      </c>
      <c r="H689" s="14" t="s">
        <v>1900</v>
      </c>
      <c r="I689" s="14"/>
      <c r="J689" s="1"/>
      <c r="K689" s="1" t="s">
        <v>1901</v>
      </c>
      <c r="L689" s="1"/>
      <c r="M689" s="1"/>
      <c r="N689" s="1"/>
      <c r="O689" s="1"/>
      <c r="P689" s="6" t="s">
        <v>31</v>
      </c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21.75" hidden="false" customHeight="true" outlineLevel="0" collapsed="false">
      <c r="A690" s="4" t="n">
        <v>43481</v>
      </c>
      <c r="B690" s="14" t="s">
        <v>48</v>
      </c>
      <c r="C690" s="14" t="s">
        <v>15</v>
      </c>
      <c r="D690" s="14" t="s">
        <v>43</v>
      </c>
      <c r="E690" s="14" t="s">
        <v>109</v>
      </c>
      <c r="F690" s="14" t="s">
        <v>1902</v>
      </c>
      <c r="G690" s="14" t="n">
        <f aca="false">+593982440638</f>
        <v>593982440638</v>
      </c>
      <c r="H690" s="14" t="s">
        <v>1903</v>
      </c>
      <c r="I690" s="14"/>
      <c r="J690" s="1"/>
      <c r="K690" s="1" t="s">
        <v>1904</v>
      </c>
      <c r="L690" s="1"/>
      <c r="M690" s="1"/>
      <c r="N690" s="1"/>
      <c r="O690" s="1"/>
      <c r="P690" s="6" t="s">
        <v>133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21.75" hidden="false" customHeight="true" outlineLevel="0" collapsed="false">
      <c r="A691" s="4" t="n">
        <v>43481</v>
      </c>
      <c r="B691" s="14" t="s">
        <v>48</v>
      </c>
      <c r="C691" s="14" t="s">
        <v>15</v>
      </c>
      <c r="D691" s="14" t="s">
        <v>43</v>
      </c>
      <c r="E691" s="14" t="s">
        <v>109</v>
      </c>
      <c r="F691" s="14" t="s">
        <v>1905</v>
      </c>
      <c r="G691" s="14" t="n">
        <f aca="false">+5930991006161</f>
        <v>5930991006161</v>
      </c>
      <c r="H691" s="14" t="s">
        <v>1906</v>
      </c>
      <c r="I691" s="14"/>
      <c r="J691" s="1"/>
      <c r="K691" s="1" t="s">
        <v>1907</v>
      </c>
      <c r="L691" s="1"/>
      <c r="M691" s="1"/>
      <c r="N691" s="1"/>
      <c r="O691" s="1"/>
      <c r="P691" s="6" t="s">
        <v>133</v>
      </c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21.75" hidden="false" customHeight="true" outlineLevel="0" collapsed="false">
      <c r="A692" s="4" t="n">
        <v>43481</v>
      </c>
      <c r="B692" s="14" t="s">
        <v>48</v>
      </c>
      <c r="C692" s="14" t="s">
        <v>26</v>
      </c>
      <c r="D692" s="14" t="s">
        <v>43</v>
      </c>
      <c r="E692" s="14" t="s">
        <v>109</v>
      </c>
      <c r="F692" s="14" t="s">
        <v>1908</v>
      </c>
      <c r="G692" s="14" t="n">
        <f aca="false">+5930980692094</f>
        <v>5930980692094</v>
      </c>
      <c r="H692" s="14" t="s">
        <v>1909</v>
      </c>
      <c r="I692" s="14"/>
      <c r="J692" s="1"/>
      <c r="K692" s="1" t="s">
        <v>21</v>
      </c>
      <c r="L692" s="1"/>
      <c r="M692" s="1"/>
      <c r="N692" s="1"/>
      <c r="O692" s="1"/>
      <c r="P692" s="6" t="s">
        <v>21</v>
      </c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21.75" hidden="false" customHeight="true" outlineLevel="0" collapsed="false">
      <c r="A693" s="4" t="n">
        <v>43481</v>
      </c>
      <c r="B693" s="14" t="s">
        <v>48</v>
      </c>
      <c r="C693" s="14" t="s">
        <v>15</v>
      </c>
      <c r="D693" s="14" t="s">
        <v>43</v>
      </c>
      <c r="E693" s="14" t="s">
        <v>109</v>
      </c>
      <c r="F693" s="14" t="s">
        <v>1910</v>
      </c>
      <c r="G693" s="14" t="n">
        <f aca="false">+593986784676</f>
        <v>593986784676</v>
      </c>
      <c r="H693" s="14" t="s">
        <v>1911</v>
      </c>
      <c r="I693" s="14"/>
      <c r="J693" s="1"/>
      <c r="K693" s="1" t="s">
        <v>1912</v>
      </c>
      <c r="L693" s="1"/>
      <c r="M693" s="1"/>
      <c r="N693" s="1"/>
      <c r="O693" s="1"/>
      <c r="P693" s="6" t="s">
        <v>133</v>
      </c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21.75" hidden="false" customHeight="true" outlineLevel="0" collapsed="false">
      <c r="A694" s="4" t="n">
        <v>43481</v>
      </c>
      <c r="B694" s="14" t="s">
        <v>48</v>
      </c>
      <c r="C694" s="14" t="s">
        <v>15</v>
      </c>
      <c r="D694" s="14" t="s">
        <v>43</v>
      </c>
      <c r="E694" s="14" t="s">
        <v>109</v>
      </c>
      <c r="F694" s="14" t="s">
        <v>1913</v>
      </c>
      <c r="G694" s="14" t="n">
        <f aca="false">+5930983438196</f>
        <v>5930983438196</v>
      </c>
      <c r="H694" s="14" t="s">
        <v>1914</v>
      </c>
      <c r="I694" s="14"/>
      <c r="J694" s="1"/>
      <c r="K694" s="1" t="s">
        <v>1915</v>
      </c>
      <c r="L694" s="1"/>
      <c r="M694" s="1"/>
      <c r="N694" s="1"/>
      <c r="O694" s="1"/>
      <c r="P694" s="6" t="s">
        <v>133</v>
      </c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21.75" hidden="false" customHeight="true" outlineLevel="0" collapsed="false">
      <c r="A695" s="4" t="n">
        <v>43481</v>
      </c>
      <c r="B695" s="14" t="s">
        <v>48</v>
      </c>
      <c r="C695" s="14" t="s">
        <v>15</v>
      </c>
      <c r="D695" s="14" t="s">
        <v>43</v>
      </c>
      <c r="E695" s="14" t="s">
        <v>109</v>
      </c>
      <c r="F695" s="14" t="s">
        <v>1916</v>
      </c>
      <c r="G695" s="14" t="n">
        <f aca="false">+593959170327</f>
        <v>593959170327</v>
      </c>
      <c r="H695" s="14" t="s">
        <v>1917</v>
      </c>
      <c r="I695" s="14"/>
      <c r="J695" s="1"/>
      <c r="K695" s="1" t="s">
        <v>21</v>
      </c>
      <c r="L695" s="1"/>
      <c r="M695" s="1"/>
      <c r="N695" s="1"/>
      <c r="O695" s="1"/>
      <c r="P695" s="6" t="s">
        <v>21</v>
      </c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21.75" hidden="false" customHeight="true" outlineLevel="0" collapsed="false">
      <c r="A696" s="4" t="n">
        <v>43481</v>
      </c>
      <c r="B696" s="14" t="s">
        <v>48</v>
      </c>
      <c r="C696" s="14" t="s">
        <v>15</v>
      </c>
      <c r="D696" s="14" t="s">
        <v>43</v>
      </c>
      <c r="E696" s="14" t="s">
        <v>109</v>
      </c>
      <c r="F696" s="14" t="s">
        <v>1918</v>
      </c>
      <c r="G696" s="14" t="n">
        <f aca="false">+593939389314</f>
        <v>593939389314</v>
      </c>
      <c r="H696" s="14" t="s">
        <v>1919</v>
      </c>
      <c r="I696" s="14"/>
      <c r="J696" s="1"/>
      <c r="K696" s="1" t="s">
        <v>21</v>
      </c>
      <c r="L696" s="1"/>
      <c r="M696" s="1"/>
      <c r="N696" s="1"/>
      <c r="O696" s="1"/>
      <c r="P696" s="6" t="s">
        <v>21</v>
      </c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21.75" hidden="false" customHeight="true" outlineLevel="0" collapsed="false">
      <c r="A697" s="4" t="n">
        <v>43481</v>
      </c>
      <c r="B697" s="14" t="s">
        <v>48</v>
      </c>
      <c r="C697" s="14" t="s">
        <v>15</v>
      </c>
      <c r="D697" s="14" t="s">
        <v>43</v>
      </c>
      <c r="E697" s="14" t="s">
        <v>109</v>
      </c>
      <c r="F697" s="14" t="s">
        <v>1920</v>
      </c>
      <c r="G697" s="14" t="n">
        <f aca="false">+593985959643</f>
        <v>593985959643</v>
      </c>
      <c r="H697" s="14" t="s">
        <v>1921</v>
      </c>
      <c r="I697" s="14"/>
      <c r="J697" s="1"/>
      <c r="K697" s="1" t="s">
        <v>21</v>
      </c>
      <c r="L697" s="1"/>
      <c r="M697" s="1"/>
      <c r="N697" s="1"/>
      <c r="O697" s="1"/>
      <c r="P697" s="6" t="s">
        <v>21</v>
      </c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21.75" hidden="false" customHeight="true" outlineLevel="0" collapsed="false">
      <c r="A698" s="4" t="n">
        <v>43481</v>
      </c>
      <c r="B698" s="14" t="s">
        <v>48</v>
      </c>
      <c r="C698" s="14" t="s">
        <v>15</v>
      </c>
      <c r="D698" s="14" t="s">
        <v>43</v>
      </c>
      <c r="E698" s="14" t="s">
        <v>109</v>
      </c>
      <c r="F698" s="14" t="s">
        <v>1922</v>
      </c>
      <c r="G698" s="14" t="n">
        <f aca="false">+593983835178</f>
        <v>593983835178</v>
      </c>
      <c r="H698" s="14" t="s">
        <v>1923</v>
      </c>
      <c r="I698" s="14"/>
      <c r="J698" s="1"/>
      <c r="K698" s="1" t="s">
        <v>21</v>
      </c>
      <c r="L698" s="1"/>
      <c r="M698" s="1"/>
      <c r="N698" s="1"/>
      <c r="O698" s="1"/>
      <c r="P698" s="6" t="s">
        <v>21</v>
      </c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21.75" hidden="false" customHeight="true" outlineLevel="0" collapsed="false">
      <c r="A699" s="4" t="n">
        <v>43481</v>
      </c>
      <c r="B699" s="18" t="s">
        <v>48</v>
      </c>
      <c r="C699" s="14" t="s">
        <v>15</v>
      </c>
      <c r="D699" s="14" t="s">
        <v>43</v>
      </c>
      <c r="E699" s="14" t="s">
        <v>109</v>
      </c>
      <c r="F699" s="19" t="s">
        <v>1924</v>
      </c>
      <c r="G699" s="18" t="n">
        <v>961762638</v>
      </c>
      <c r="H699" s="18" t="s">
        <v>1925</v>
      </c>
      <c r="I699" s="18"/>
      <c r="J699" s="1"/>
      <c r="K699" s="1" t="s">
        <v>21</v>
      </c>
      <c r="L699" s="1"/>
      <c r="M699" s="1"/>
      <c r="N699" s="1"/>
      <c r="O699" s="1"/>
      <c r="P699" s="6" t="s">
        <v>21</v>
      </c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21.75" hidden="false" customHeight="true" outlineLevel="0" collapsed="false">
      <c r="A700" s="4" t="n">
        <v>43481</v>
      </c>
      <c r="B700" s="18" t="s">
        <v>48</v>
      </c>
      <c r="C700" s="14" t="s">
        <v>15</v>
      </c>
      <c r="D700" s="14" t="s">
        <v>43</v>
      </c>
      <c r="E700" s="14" t="s">
        <v>109</v>
      </c>
      <c r="F700" s="19" t="s">
        <v>1926</v>
      </c>
      <c r="G700" s="18" t="n">
        <v>993601958</v>
      </c>
      <c r="H700" s="18" t="s">
        <v>1927</v>
      </c>
      <c r="I700" s="18"/>
      <c r="J700" s="1"/>
      <c r="K700" s="1" t="s">
        <v>1864</v>
      </c>
      <c r="L700" s="1"/>
      <c r="M700" s="1"/>
      <c r="N700" s="1"/>
      <c r="O700" s="1"/>
      <c r="P700" s="6" t="s">
        <v>751</v>
      </c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21.75" hidden="false" customHeight="true" outlineLevel="0" collapsed="false">
      <c r="A701" s="4" t="n">
        <v>43481</v>
      </c>
      <c r="B701" s="18" t="s">
        <v>48</v>
      </c>
      <c r="C701" s="14" t="s">
        <v>15</v>
      </c>
      <c r="D701" s="14" t="s">
        <v>43</v>
      </c>
      <c r="E701" s="14" t="s">
        <v>109</v>
      </c>
      <c r="F701" s="19" t="s">
        <v>1928</v>
      </c>
      <c r="G701" s="18" t="n">
        <v>990018421</v>
      </c>
      <c r="H701" s="18" t="s">
        <v>1929</v>
      </c>
      <c r="I701" s="18"/>
      <c r="J701" s="1"/>
      <c r="K701" s="1" t="s">
        <v>21</v>
      </c>
      <c r="L701" s="1"/>
      <c r="M701" s="1"/>
      <c r="N701" s="1"/>
      <c r="O701" s="1"/>
      <c r="P701" s="6" t="s">
        <v>21</v>
      </c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21.75" hidden="false" customHeight="true" outlineLevel="0" collapsed="false">
      <c r="A702" s="4" t="n">
        <v>43481</v>
      </c>
      <c r="B702" s="18" t="s">
        <v>48</v>
      </c>
      <c r="C702" s="14" t="s">
        <v>15</v>
      </c>
      <c r="D702" s="14" t="s">
        <v>43</v>
      </c>
      <c r="E702" s="14" t="s">
        <v>109</v>
      </c>
      <c r="F702" s="19" t="s">
        <v>1930</v>
      </c>
      <c r="G702" s="18" t="n">
        <v>987150411</v>
      </c>
      <c r="H702" s="18" t="s">
        <v>1931</v>
      </c>
      <c r="I702" s="18"/>
      <c r="J702" s="1"/>
      <c r="K702" s="1" t="s">
        <v>21</v>
      </c>
      <c r="L702" s="1"/>
      <c r="M702" s="1"/>
      <c r="N702" s="1"/>
      <c r="O702" s="1"/>
      <c r="P702" s="6" t="s">
        <v>21</v>
      </c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21.75" hidden="false" customHeight="true" outlineLevel="0" collapsed="false">
      <c r="A703" s="4" t="n">
        <v>43481</v>
      </c>
      <c r="B703" s="18" t="s">
        <v>48</v>
      </c>
      <c r="C703" s="14" t="s">
        <v>15</v>
      </c>
      <c r="D703" s="14" t="s">
        <v>43</v>
      </c>
      <c r="E703" s="14" t="s">
        <v>109</v>
      </c>
      <c r="F703" s="19" t="s">
        <v>1932</v>
      </c>
      <c r="G703" s="18" t="n">
        <v>997118905</v>
      </c>
      <c r="H703" s="26" t="s">
        <v>1933</v>
      </c>
      <c r="I703" s="26"/>
      <c r="J703" s="1"/>
      <c r="K703" s="1" t="s">
        <v>21</v>
      </c>
      <c r="L703" s="1"/>
      <c r="M703" s="1"/>
      <c r="N703" s="1"/>
      <c r="O703" s="1"/>
      <c r="P703" s="6" t="s">
        <v>21</v>
      </c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21.75" hidden="false" customHeight="true" outlineLevel="0" collapsed="false">
      <c r="A704" s="4" t="n">
        <v>43481</v>
      </c>
      <c r="B704" s="18" t="s">
        <v>48</v>
      </c>
      <c r="C704" s="14" t="s">
        <v>15</v>
      </c>
      <c r="D704" s="14" t="s">
        <v>43</v>
      </c>
      <c r="E704" s="14" t="s">
        <v>109</v>
      </c>
      <c r="F704" s="19" t="s">
        <v>1934</v>
      </c>
      <c r="G704" s="18" t="n">
        <v>967189738</v>
      </c>
      <c r="H704" s="18" t="s">
        <v>1884</v>
      </c>
      <c r="I704" s="18"/>
      <c r="J704" s="1"/>
      <c r="K704" s="1" t="s">
        <v>428</v>
      </c>
      <c r="L704" s="1"/>
      <c r="M704" s="1"/>
      <c r="N704" s="1"/>
      <c r="O704" s="1"/>
      <c r="P704" s="6" t="s">
        <v>31</v>
      </c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21.75" hidden="false" customHeight="true" outlineLevel="0" collapsed="false">
      <c r="A705" s="4" t="n">
        <v>43481</v>
      </c>
      <c r="B705" s="18" t="s">
        <v>48</v>
      </c>
      <c r="C705" s="14" t="s">
        <v>15</v>
      </c>
      <c r="D705" s="14" t="s">
        <v>43</v>
      </c>
      <c r="E705" s="14" t="s">
        <v>109</v>
      </c>
      <c r="F705" s="19" t="s">
        <v>1935</v>
      </c>
      <c r="G705" s="18" t="n">
        <v>999341911</v>
      </c>
      <c r="H705" s="18" t="s">
        <v>1936</v>
      </c>
      <c r="I705" s="18"/>
      <c r="J705" s="1"/>
      <c r="K705" s="1" t="s">
        <v>1937</v>
      </c>
      <c r="L705" s="1"/>
      <c r="M705" s="1"/>
      <c r="N705" s="1"/>
      <c r="O705" s="1"/>
      <c r="P705" s="6" t="s">
        <v>462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21.75" hidden="false" customHeight="true" outlineLevel="0" collapsed="false">
      <c r="A706" s="4" t="n">
        <v>43481</v>
      </c>
      <c r="B706" s="14" t="s">
        <v>48</v>
      </c>
      <c r="C706" s="14" t="s">
        <v>15</v>
      </c>
      <c r="D706" s="14" t="s">
        <v>43</v>
      </c>
      <c r="E706" s="14" t="s">
        <v>109</v>
      </c>
      <c r="F706" s="14" t="s">
        <v>1938</v>
      </c>
      <c r="G706" s="14" t="n">
        <f aca="false">+593986350587</f>
        <v>593986350587</v>
      </c>
      <c r="H706" s="14" t="s">
        <v>1939</v>
      </c>
      <c r="I706" s="14"/>
      <c r="J706" s="1"/>
      <c r="K706" s="1" t="s">
        <v>21</v>
      </c>
      <c r="L706" s="1"/>
      <c r="M706" s="1"/>
      <c r="N706" s="1"/>
      <c r="O706" s="1"/>
      <c r="P706" s="6" t="s">
        <v>21</v>
      </c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21.75" hidden="false" customHeight="true" outlineLevel="0" collapsed="false">
      <c r="A707" s="4" t="n">
        <v>43481</v>
      </c>
      <c r="B707" s="14" t="s">
        <v>532</v>
      </c>
      <c r="C707" s="14" t="s">
        <v>26</v>
      </c>
      <c r="D707" s="14" t="s">
        <v>43</v>
      </c>
      <c r="E707" s="14" t="s">
        <v>109</v>
      </c>
      <c r="F707" s="14" t="s">
        <v>1940</v>
      </c>
      <c r="G707" s="14" t="n">
        <f aca="false">+593979038870</f>
        <v>593979038870</v>
      </c>
      <c r="H707" s="14" t="s">
        <v>1941</v>
      </c>
      <c r="I707" s="14"/>
      <c r="J707" s="1"/>
      <c r="K707" s="1" t="s">
        <v>1942</v>
      </c>
      <c r="L707" s="1"/>
      <c r="M707" s="1"/>
      <c r="N707" s="1"/>
      <c r="O707" s="1"/>
      <c r="P707" s="6" t="s">
        <v>133</v>
      </c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21.75" hidden="false" customHeight="true" outlineLevel="0" collapsed="false">
      <c r="A708" s="4" t="n">
        <v>43481</v>
      </c>
      <c r="B708" s="14" t="s">
        <v>532</v>
      </c>
      <c r="C708" s="14" t="s">
        <v>15</v>
      </c>
      <c r="D708" s="14" t="s">
        <v>43</v>
      </c>
      <c r="E708" s="14" t="s">
        <v>109</v>
      </c>
      <c r="F708" s="14" t="s">
        <v>1943</v>
      </c>
      <c r="G708" s="14" t="n">
        <f aca="false">+5930985070572</f>
        <v>5930985070572</v>
      </c>
      <c r="H708" s="14" t="s">
        <v>1944</v>
      </c>
      <c r="I708" s="14"/>
      <c r="J708" s="1"/>
      <c r="K708" s="1" t="s">
        <v>21</v>
      </c>
      <c r="L708" s="1"/>
      <c r="M708" s="1"/>
      <c r="N708" s="1"/>
      <c r="O708" s="1"/>
      <c r="P708" s="6" t="s">
        <v>21</v>
      </c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21.75" hidden="false" customHeight="true" outlineLevel="0" collapsed="false">
      <c r="A709" s="4" t="n">
        <v>43481</v>
      </c>
      <c r="B709" s="14" t="s">
        <v>532</v>
      </c>
      <c r="C709" s="14" t="s">
        <v>15</v>
      </c>
      <c r="D709" s="14" t="s">
        <v>43</v>
      </c>
      <c r="E709" s="14" t="s">
        <v>109</v>
      </c>
      <c r="F709" s="14" t="s">
        <v>1945</v>
      </c>
      <c r="G709" s="14" t="n">
        <f aca="false">+593989825781</f>
        <v>593989825781</v>
      </c>
      <c r="H709" s="14" t="s">
        <v>1946</v>
      </c>
      <c r="I709" s="14"/>
      <c r="J709" s="1"/>
      <c r="K709" s="1" t="s">
        <v>21</v>
      </c>
      <c r="L709" s="1"/>
      <c r="M709" s="1"/>
      <c r="N709" s="1"/>
      <c r="O709" s="1"/>
      <c r="P709" s="6" t="s">
        <v>21</v>
      </c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21.75" hidden="false" customHeight="true" outlineLevel="0" collapsed="false">
      <c r="A710" s="4" t="n">
        <v>43481</v>
      </c>
      <c r="B710" s="14" t="s">
        <v>532</v>
      </c>
      <c r="C710" s="14" t="s">
        <v>15</v>
      </c>
      <c r="D710" s="14" t="s">
        <v>43</v>
      </c>
      <c r="E710" s="14" t="s">
        <v>109</v>
      </c>
      <c r="F710" s="14" t="s">
        <v>1947</v>
      </c>
      <c r="G710" s="14" t="n">
        <f aca="false">+5930987687043</f>
        <v>5930987687043</v>
      </c>
      <c r="H710" s="14" t="s">
        <v>1948</v>
      </c>
      <c r="I710" s="14"/>
      <c r="J710" s="1"/>
      <c r="K710" s="1" t="s">
        <v>1949</v>
      </c>
      <c r="L710" s="1"/>
      <c r="M710" s="1"/>
      <c r="N710" s="1"/>
      <c r="O710" s="1"/>
      <c r="P710" s="6" t="s">
        <v>751</v>
      </c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21.75" hidden="false" customHeight="true" outlineLevel="0" collapsed="false">
      <c r="A711" s="4" t="n">
        <v>43481</v>
      </c>
      <c r="B711" s="14" t="s">
        <v>532</v>
      </c>
      <c r="C711" s="14" t="s">
        <v>15</v>
      </c>
      <c r="D711" s="14" t="s">
        <v>43</v>
      </c>
      <c r="E711" s="14" t="s">
        <v>109</v>
      </c>
      <c r="F711" s="14" t="s">
        <v>1950</v>
      </c>
      <c r="G711" s="14" t="n">
        <f aca="false">+593996827091</f>
        <v>593996827091</v>
      </c>
      <c r="H711" s="14" t="s">
        <v>1951</v>
      </c>
      <c r="I711" s="14"/>
      <c r="J711" s="1"/>
      <c r="K711" s="1" t="s">
        <v>21</v>
      </c>
      <c r="L711" s="1"/>
      <c r="M711" s="1"/>
      <c r="N711" s="1"/>
      <c r="O711" s="1"/>
      <c r="P711" s="6" t="s">
        <v>21</v>
      </c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21.75" hidden="false" customHeight="true" outlineLevel="0" collapsed="false">
      <c r="A712" s="4" t="n">
        <v>43481</v>
      </c>
      <c r="B712" s="18" t="s">
        <v>532</v>
      </c>
      <c r="C712" s="14" t="s">
        <v>15</v>
      </c>
      <c r="D712" s="14" t="s">
        <v>43</v>
      </c>
      <c r="E712" s="14" t="s">
        <v>109</v>
      </c>
      <c r="F712" s="19" t="s">
        <v>1952</v>
      </c>
      <c r="G712" s="18" t="n">
        <v>996938532</v>
      </c>
      <c r="H712" s="18" t="s">
        <v>1953</v>
      </c>
      <c r="I712" s="18"/>
      <c r="J712" s="1"/>
      <c r="K712" s="1" t="s">
        <v>21</v>
      </c>
      <c r="L712" s="1"/>
      <c r="M712" s="1"/>
      <c r="N712" s="1"/>
      <c r="O712" s="1"/>
      <c r="P712" s="6" t="s">
        <v>21</v>
      </c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21.75" hidden="false" customHeight="true" outlineLevel="0" collapsed="false">
      <c r="A713" s="4" t="n">
        <v>43481</v>
      </c>
      <c r="B713" s="18" t="s">
        <v>532</v>
      </c>
      <c r="C713" s="14" t="s">
        <v>15</v>
      </c>
      <c r="D713" s="14" t="s">
        <v>43</v>
      </c>
      <c r="E713" s="14" t="s">
        <v>109</v>
      </c>
      <c r="F713" s="19" t="s">
        <v>1954</v>
      </c>
      <c r="G713" s="18" t="n">
        <v>963004647</v>
      </c>
      <c r="H713" s="26" t="s">
        <v>1955</v>
      </c>
      <c r="I713" s="26"/>
      <c r="J713" s="1"/>
      <c r="K713" s="1" t="s">
        <v>195</v>
      </c>
      <c r="L713" s="1"/>
      <c r="M713" s="1"/>
      <c r="N713" s="1"/>
      <c r="O713" s="1"/>
      <c r="P713" s="6" t="s">
        <v>133</v>
      </c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21.75" hidden="false" customHeight="true" outlineLevel="0" collapsed="false">
      <c r="A714" s="4" t="n">
        <v>43481</v>
      </c>
      <c r="B714" s="18" t="s">
        <v>127</v>
      </c>
      <c r="C714" s="14" t="s">
        <v>15</v>
      </c>
      <c r="D714" s="14" t="s">
        <v>43</v>
      </c>
      <c r="E714" s="14" t="s">
        <v>44</v>
      </c>
      <c r="F714" s="14" t="s">
        <v>1956</v>
      </c>
      <c r="G714" s="14" t="n">
        <f aca="false">+593992612511</f>
        <v>593992612511</v>
      </c>
      <c r="H714" s="14" t="s">
        <v>1957</v>
      </c>
      <c r="I714" s="14"/>
      <c r="J714" s="1"/>
      <c r="K714" s="1" t="s">
        <v>21</v>
      </c>
      <c r="L714" s="1"/>
      <c r="M714" s="1"/>
      <c r="N714" s="1"/>
      <c r="O714" s="1"/>
      <c r="P714" s="6" t="s">
        <v>21</v>
      </c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21.75" hidden="false" customHeight="true" outlineLevel="0" collapsed="false">
      <c r="A715" s="4" t="n">
        <v>43481</v>
      </c>
      <c r="B715" s="18" t="s">
        <v>127</v>
      </c>
      <c r="C715" s="14" t="s">
        <v>15</v>
      </c>
      <c r="D715" s="14" t="s">
        <v>43</v>
      </c>
      <c r="E715" s="14" t="s">
        <v>44</v>
      </c>
      <c r="F715" s="14" t="s">
        <v>1958</v>
      </c>
      <c r="G715" s="14" t="n">
        <f aca="false">+593992795944</f>
        <v>593992795944</v>
      </c>
      <c r="H715" s="14" t="s">
        <v>1959</v>
      </c>
      <c r="I715" s="14"/>
      <c r="J715" s="1"/>
      <c r="K715" s="1" t="s">
        <v>21</v>
      </c>
      <c r="L715" s="1"/>
      <c r="M715" s="1"/>
      <c r="N715" s="1"/>
      <c r="O715" s="1"/>
      <c r="P715" s="6" t="s">
        <v>21</v>
      </c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21.75" hidden="false" customHeight="true" outlineLevel="0" collapsed="false">
      <c r="A716" s="4" t="n">
        <v>43481</v>
      </c>
      <c r="B716" s="14" t="s">
        <v>127</v>
      </c>
      <c r="C716" s="14" t="s">
        <v>15</v>
      </c>
      <c r="D716" s="14" t="s">
        <v>43</v>
      </c>
      <c r="E716" s="14" t="s">
        <v>109</v>
      </c>
      <c r="F716" s="14" t="s">
        <v>1960</v>
      </c>
      <c r="G716" s="14" t="n">
        <f aca="false">+59392953707</f>
        <v>59392953707</v>
      </c>
      <c r="H716" s="14" t="s">
        <v>1961</v>
      </c>
      <c r="I716" s="14"/>
      <c r="J716" s="1"/>
      <c r="K716" s="1" t="s">
        <v>1962</v>
      </c>
      <c r="L716" s="1"/>
      <c r="M716" s="1"/>
      <c r="N716" s="1"/>
      <c r="O716" s="1"/>
      <c r="P716" s="6" t="s">
        <v>341</v>
      </c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21.75" hidden="false" customHeight="true" outlineLevel="0" collapsed="false">
      <c r="A717" s="4" t="n">
        <v>43481</v>
      </c>
      <c r="B717" s="14" t="s">
        <v>127</v>
      </c>
      <c r="C717" s="14" t="s">
        <v>15</v>
      </c>
      <c r="D717" s="14" t="s">
        <v>43</v>
      </c>
      <c r="E717" s="14" t="s">
        <v>109</v>
      </c>
      <c r="F717" s="14" t="s">
        <v>1963</v>
      </c>
      <c r="G717" s="14" t="n">
        <f aca="false">+5930969312119</f>
        <v>5930969312119</v>
      </c>
      <c r="H717" s="14" t="s">
        <v>1964</v>
      </c>
      <c r="I717" s="14"/>
      <c r="J717" s="1"/>
      <c r="K717" s="1" t="s">
        <v>1965</v>
      </c>
      <c r="L717" s="1"/>
      <c r="M717" s="1"/>
      <c r="N717" s="1"/>
      <c r="O717" s="1"/>
      <c r="P717" s="6" t="s">
        <v>133</v>
      </c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21.75" hidden="false" customHeight="true" outlineLevel="0" collapsed="false">
      <c r="A718" s="4" t="n">
        <v>43481</v>
      </c>
      <c r="B718" s="14" t="s">
        <v>127</v>
      </c>
      <c r="C718" s="14" t="s">
        <v>15</v>
      </c>
      <c r="D718" s="14" t="s">
        <v>43</v>
      </c>
      <c r="E718" s="14" t="s">
        <v>109</v>
      </c>
      <c r="F718" s="14" t="s">
        <v>1966</v>
      </c>
      <c r="G718" s="14" t="n">
        <f aca="false">+593994477737</f>
        <v>593994477737</v>
      </c>
      <c r="H718" s="14" t="s">
        <v>1967</v>
      </c>
      <c r="I718" s="14"/>
      <c r="J718" s="1"/>
      <c r="K718" s="1" t="s">
        <v>1968</v>
      </c>
      <c r="L718" s="1"/>
      <c r="M718" s="1"/>
      <c r="N718" s="1"/>
      <c r="O718" s="1"/>
      <c r="P718" s="6" t="s">
        <v>751</v>
      </c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21.75" hidden="false" customHeight="true" outlineLevel="0" collapsed="false">
      <c r="A719" s="4" t="n">
        <v>43481</v>
      </c>
      <c r="B719" s="14" t="s">
        <v>127</v>
      </c>
      <c r="C719" s="14" t="s">
        <v>15</v>
      </c>
      <c r="D719" s="14" t="s">
        <v>43</v>
      </c>
      <c r="E719" s="14" t="s">
        <v>109</v>
      </c>
      <c r="F719" s="14" t="s">
        <v>1969</v>
      </c>
      <c r="G719" s="14" t="n">
        <f aca="false">+593960095144</f>
        <v>593960095144</v>
      </c>
      <c r="H719" s="14" t="s">
        <v>1970</v>
      </c>
      <c r="I719" s="14"/>
      <c r="J719" s="1"/>
      <c r="K719" s="1" t="s">
        <v>1971</v>
      </c>
      <c r="L719" s="1"/>
      <c r="M719" s="1"/>
      <c r="N719" s="1"/>
      <c r="O719" s="1"/>
      <c r="P719" s="6" t="s">
        <v>133</v>
      </c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21.75" hidden="false" customHeight="true" outlineLevel="0" collapsed="false">
      <c r="A720" s="4" t="n">
        <v>43481</v>
      </c>
      <c r="B720" s="14" t="s">
        <v>127</v>
      </c>
      <c r="C720" s="14" t="s">
        <v>26</v>
      </c>
      <c r="D720" s="14" t="s">
        <v>43</v>
      </c>
      <c r="E720" s="14" t="s">
        <v>109</v>
      </c>
      <c r="F720" s="14" t="s">
        <v>1972</v>
      </c>
      <c r="G720" s="14" t="n">
        <f aca="false">+5939961470889</f>
        <v>5939961470889</v>
      </c>
      <c r="H720" s="14" t="s">
        <v>1973</v>
      </c>
      <c r="I720" s="14"/>
      <c r="J720" s="1"/>
      <c r="K720" s="1" t="s">
        <v>21</v>
      </c>
      <c r="L720" s="1"/>
      <c r="M720" s="1"/>
      <c r="N720" s="1"/>
      <c r="O720" s="1"/>
      <c r="P720" s="6" t="s">
        <v>21</v>
      </c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21.75" hidden="false" customHeight="true" outlineLevel="0" collapsed="false">
      <c r="A721" s="4" t="n">
        <v>43481</v>
      </c>
      <c r="B721" s="18" t="s">
        <v>127</v>
      </c>
      <c r="C721" s="14" t="s">
        <v>15</v>
      </c>
      <c r="D721" s="14" t="s">
        <v>43</v>
      </c>
      <c r="E721" s="14" t="s">
        <v>109</v>
      </c>
      <c r="F721" s="19" t="s">
        <v>1974</v>
      </c>
      <c r="G721" s="18" t="n">
        <v>988965378</v>
      </c>
      <c r="H721" s="18" t="s">
        <v>1975</v>
      </c>
      <c r="I721" s="18"/>
      <c r="J721" s="1"/>
      <c r="K721" s="1" t="s">
        <v>21</v>
      </c>
      <c r="L721" s="1"/>
      <c r="M721" s="1"/>
      <c r="N721" s="1"/>
      <c r="O721" s="1"/>
      <c r="P721" s="6" t="s">
        <v>21</v>
      </c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21.75" hidden="false" customHeight="true" outlineLevel="0" collapsed="false">
      <c r="A722" s="4" t="n">
        <v>43481</v>
      </c>
      <c r="B722" s="14" t="s">
        <v>127</v>
      </c>
      <c r="C722" s="14" t="s">
        <v>15</v>
      </c>
      <c r="D722" s="14" t="s">
        <v>43</v>
      </c>
      <c r="E722" s="14" t="s">
        <v>109</v>
      </c>
      <c r="F722" s="14" t="s">
        <v>1976</v>
      </c>
      <c r="G722" s="14" t="n">
        <f aca="false">+593991339396</f>
        <v>593991339396</v>
      </c>
      <c r="H722" s="14" t="s">
        <v>1977</v>
      </c>
      <c r="I722" s="14"/>
      <c r="J722" s="1"/>
      <c r="K722" s="1" t="s">
        <v>21</v>
      </c>
      <c r="L722" s="1"/>
      <c r="M722" s="1"/>
      <c r="N722" s="1"/>
      <c r="O722" s="1"/>
      <c r="P722" s="6" t="s">
        <v>21</v>
      </c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21.75" hidden="false" customHeight="true" outlineLevel="0" collapsed="false">
      <c r="A723" s="4" t="n">
        <v>43481</v>
      </c>
      <c r="B723" s="14" t="s">
        <v>1114</v>
      </c>
      <c r="C723" s="14" t="s">
        <v>15</v>
      </c>
      <c r="D723" s="14" t="s">
        <v>43</v>
      </c>
      <c r="E723" s="14" t="s">
        <v>109</v>
      </c>
      <c r="F723" s="14" t="s">
        <v>1978</v>
      </c>
      <c r="G723" s="14" t="n">
        <f aca="false">+593989311529</f>
        <v>593989311529</v>
      </c>
      <c r="H723" s="14" t="s">
        <v>1979</v>
      </c>
      <c r="I723" s="14"/>
      <c r="J723" s="1"/>
      <c r="K723" s="1" t="s">
        <v>1980</v>
      </c>
      <c r="L723" s="1"/>
      <c r="M723" s="1"/>
      <c r="N723" s="1"/>
      <c r="O723" s="1"/>
      <c r="P723" s="6" t="s">
        <v>133</v>
      </c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21.75" hidden="false" customHeight="true" outlineLevel="0" collapsed="false">
      <c r="A724" s="4" t="n">
        <v>43481</v>
      </c>
      <c r="B724" s="14" t="s">
        <v>1114</v>
      </c>
      <c r="C724" s="14" t="s">
        <v>15</v>
      </c>
      <c r="D724" s="14" t="s">
        <v>43</v>
      </c>
      <c r="E724" s="14" t="s">
        <v>109</v>
      </c>
      <c r="F724" s="14" t="s">
        <v>1928</v>
      </c>
      <c r="G724" s="20" t="n">
        <v>5930990018421</v>
      </c>
      <c r="H724" s="14" t="s">
        <v>1929</v>
      </c>
      <c r="I724" s="14"/>
      <c r="J724" s="1"/>
      <c r="K724" s="1" t="s">
        <v>21</v>
      </c>
      <c r="L724" s="1"/>
      <c r="M724" s="1"/>
      <c r="N724" s="1"/>
      <c r="O724" s="1"/>
      <c r="P724" s="6" t="s">
        <v>21</v>
      </c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21.75" hidden="false" customHeight="true" outlineLevel="0" collapsed="false">
      <c r="A725" s="4" t="n">
        <v>43481</v>
      </c>
      <c r="B725" s="14" t="s">
        <v>1114</v>
      </c>
      <c r="C725" s="14" t="s">
        <v>15</v>
      </c>
      <c r="D725" s="14" t="s">
        <v>43</v>
      </c>
      <c r="E725" s="14" t="s">
        <v>109</v>
      </c>
      <c r="F725" s="14" t="s">
        <v>1981</v>
      </c>
      <c r="G725" s="14" t="n">
        <f aca="false">+59362901278</f>
        <v>59362901278</v>
      </c>
      <c r="H725" s="14" t="s">
        <v>1982</v>
      </c>
      <c r="I725" s="14"/>
      <c r="J725" s="1"/>
      <c r="K725" s="1" t="s">
        <v>1962</v>
      </c>
      <c r="L725" s="1"/>
      <c r="M725" s="1"/>
      <c r="N725" s="1"/>
      <c r="O725" s="1"/>
      <c r="P725" s="6" t="s">
        <v>341</v>
      </c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21.75" hidden="false" customHeight="true" outlineLevel="0" collapsed="false">
      <c r="A726" s="4" t="n">
        <v>43481</v>
      </c>
      <c r="B726" s="14" t="s">
        <v>1114</v>
      </c>
      <c r="C726" s="14" t="s">
        <v>15</v>
      </c>
      <c r="D726" s="14" t="s">
        <v>43</v>
      </c>
      <c r="E726" s="14" t="s">
        <v>109</v>
      </c>
      <c r="F726" s="14" t="s">
        <v>1983</v>
      </c>
      <c r="G726" s="14" t="n">
        <f aca="false">+593939456704</f>
        <v>593939456704</v>
      </c>
      <c r="H726" s="14" t="s">
        <v>1984</v>
      </c>
      <c r="I726" s="14"/>
      <c r="J726" s="1"/>
      <c r="K726" s="1" t="s">
        <v>21</v>
      </c>
      <c r="L726" s="1"/>
      <c r="M726" s="1"/>
      <c r="N726" s="1"/>
      <c r="O726" s="1"/>
      <c r="P726" s="6" t="s">
        <v>21</v>
      </c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21.75" hidden="false" customHeight="true" outlineLevel="0" collapsed="false">
      <c r="A727" s="4" t="n">
        <v>43481</v>
      </c>
      <c r="B727" s="14" t="s">
        <v>1114</v>
      </c>
      <c r="C727" s="14" t="s">
        <v>26</v>
      </c>
      <c r="D727" s="14" t="s">
        <v>43</v>
      </c>
      <c r="E727" s="14" t="s">
        <v>109</v>
      </c>
      <c r="F727" s="14" t="s">
        <v>1985</v>
      </c>
      <c r="G727" s="14" t="n">
        <f aca="false">+593994294901</f>
        <v>593994294901</v>
      </c>
      <c r="H727" s="14" t="s">
        <v>1986</v>
      </c>
      <c r="I727" s="14"/>
      <c r="J727" s="1"/>
      <c r="K727" s="1" t="s">
        <v>21</v>
      </c>
      <c r="L727" s="1"/>
      <c r="M727" s="1"/>
      <c r="N727" s="1"/>
      <c r="O727" s="1"/>
      <c r="P727" s="6" t="s">
        <v>21</v>
      </c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21.75" hidden="false" customHeight="true" outlineLevel="0" collapsed="false">
      <c r="A728" s="4" t="n">
        <v>43481</v>
      </c>
      <c r="B728" s="14" t="s">
        <v>415</v>
      </c>
      <c r="C728" s="14" t="s">
        <v>26</v>
      </c>
      <c r="D728" s="14" t="s">
        <v>43</v>
      </c>
      <c r="E728" s="14" t="s">
        <v>109</v>
      </c>
      <c r="F728" s="14" t="s">
        <v>671</v>
      </c>
      <c r="G728" s="14" t="n">
        <f aca="false">+593990350581</f>
        <v>593990350581</v>
      </c>
      <c r="H728" s="14" t="s">
        <v>672</v>
      </c>
      <c r="I728" s="14"/>
      <c r="J728" s="1"/>
      <c r="K728" s="1" t="s">
        <v>1987</v>
      </c>
      <c r="L728" s="1"/>
      <c r="M728" s="1"/>
      <c r="N728" s="1"/>
      <c r="O728" s="1"/>
      <c r="P728" s="6" t="s">
        <v>133</v>
      </c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21.75" hidden="false" customHeight="true" outlineLevel="0" collapsed="false">
      <c r="A729" s="4" t="n">
        <v>43481</v>
      </c>
      <c r="B729" s="14" t="s">
        <v>352</v>
      </c>
      <c r="C729" s="14" t="s">
        <v>15</v>
      </c>
      <c r="D729" s="14" t="s">
        <v>43</v>
      </c>
      <c r="E729" s="14" t="s">
        <v>109</v>
      </c>
      <c r="F729" s="14" t="s">
        <v>1988</v>
      </c>
      <c r="G729" s="14" t="n">
        <f aca="false">+5930982433092</f>
        <v>5930982433092</v>
      </c>
      <c r="H729" s="14" t="s">
        <v>1989</v>
      </c>
      <c r="I729" s="14"/>
      <c r="J729" s="1"/>
      <c r="K729" s="1" t="s">
        <v>1990</v>
      </c>
      <c r="L729" s="1"/>
      <c r="M729" s="1"/>
      <c r="N729" s="1"/>
      <c r="O729" s="1"/>
      <c r="P729" s="6" t="s">
        <v>133</v>
      </c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21.75" hidden="false" customHeight="true" outlineLevel="0" collapsed="false">
      <c r="A730" s="4" t="n">
        <v>43481</v>
      </c>
      <c r="B730" s="14" t="s">
        <v>352</v>
      </c>
      <c r="C730" s="14" t="s">
        <v>15</v>
      </c>
      <c r="D730" s="14" t="s">
        <v>43</v>
      </c>
      <c r="E730" s="14" t="s">
        <v>109</v>
      </c>
      <c r="F730" s="14" t="s">
        <v>1991</v>
      </c>
      <c r="G730" s="14" t="n">
        <f aca="false">+593979127502</f>
        <v>593979127502</v>
      </c>
      <c r="H730" s="14" t="s">
        <v>1992</v>
      </c>
      <c r="I730" s="14"/>
      <c r="J730" s="1"/>
      <c r="K730" s="1" t="s">
        <v>21</v>
      </c>
      <c r="L730" s="1"/>
      <c r="M730" s="1"/>
      <c r="N730" s="1"/>
      <c r="O730" s="1"/>
      <c r="P730" s="6" t="s">
        <v>21</v>
      </c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21.75" hidden="false" customHeight="true" outlineLevel="0" collapsed="false">
      <c r="A731" s="4" t="n">
        <v>43481</v>
      </c>
      <c r="B731" s="14" t="s">
        <v>352</v>
      </c>
      <c r="C731" s="14" t="s">
        <v>15</v>
      </c>
      <c r="D731" s="14" t="s">
        <v>43</v>
      </c>
      <c r="E731" s="14" t="s">
        <v>109</v>
      </c>
      <c r="F731" s="14" t="s">
        <v>1993</v>
      </c>
      <c r="G731" s="14" t="n">
        <f aca="false">+5930967258032</f>
        <v>5930967258032</v>
      </c>
      <c r="H731" s="14" t="s">
        <v>1994</v>
      </c>
      <c r="I731" s="14"/>
      <c r="J731" s="1"/>
      <c r="K731" s="1" t="s">
        <v>21</v>
      </c>
      <c r="L731" s="1"/>
      <c r="M731" s="1"/>
      <c r="N731" s="1"/>
      <c r="O731" s="1"/>
      <c r="P731" s="6" t="s">
        <v>21</v>
      </c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21.75" hidden="false" customHeight="true" outlineLevel="0" collapsed="false">
      <c r="A732" s="4" t="n">
        <v>43481</v>
      </c>
      <c r="B732" s="14" t="s">
        <v>352</v>
      </c>
      <c r="C732" s="14" t="s">
        <v>15</v>
      </c>
      <c r="D732" s="14" t="s">
        <v>43</v>
      </c>
      <c r="E732" s="14" t="s">
        <v>109</v>
      </c>
      <c r="F732" s="14" t="s">
        <v>1995</v>
      </c>
      <c r="G732" s="14" t="n">
        <f aca="false">+5930992610379</f>
        <v>5930992610379</v>
      </c>
      <c r="H732" s="14" t="s">
        <v>1996</v>
      </c>
      <c r="I732" s="14"/>
      <c r="J732" s="1"/>
      <c r="K732" s="1" t="s">
        <v>21</v>
      </c>
      <c r="L732" s="1"/>
      <c r="M732" s="1"/>
      <c r="N732" s="1"/>
      <c r="O732" s="1"/>
      <c r="P732" s="6" t="s">
        <v>21</v>
      </c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21.75" hidden="false" customHeight="true" outlineLevel="0" collapsed="false">
      <c r="A733" s="4" t="n">
        <v>43481</v>
      </c>
      <c r="B733" s="14" t="s">
        <v>352</v>
      </c>
      <c r="C733" s="14" t="s">
        <v>15</v>
      </c>
      <c r="D733" s="14" t="s">
        <v>43</v>
      </c>
      <c r="E733" s="14" t="s">
        <v>109</v>
      </c>
      <c r="F733" s="14" t="s">
        <v>1997</v>
      </c>
      <c r="G733" s="14" t="n">
        <f aca="false">+593996637979</f>
        <v>593996637979</v>
      </c>
      <c r="H733" s="14" t="s">
        <v>1998</v>
      </c>
      <c r="I733" s="14"/>
      <c r="J733" s="1"/>
      <c r="K733" s="1" t="s">
        <v>21</v>
      </c>
      <c r="L733" s="1"/>
      <c r="M733" s="1"/>
      <c r="N733" s="1"/>
      <c r="O733" s="1"/>
      <c r="P733" s="6" t="s">
        <v>21</v>
      </c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21.75" hidden="false" customHeight="true" outlineLevel="0" collapsed="false">
      <c r="A734" s="4" t="n">
        <v>43481</v>
      </c>
      <c r="B734" s="14" t="s">
        <v>352</v>
      </c>
      <c r="C734" s="14" t="s">
        <v>26</v>
      </c>
      <c r="D734" s="14" t="s">
        <v>43</v>
      </c>
      <c r="E734" s="14" t="s">
        <v>109</v>
      </c>
      <c r="F734" s="14" t="s">
        <v>1999</v>
      </c>
      <c r="G734" s="14" t="n">
        <v>983473610</v>
      </c>
      <c r="H734" s="14" t="s">
        <v>2000</v>
      </c>
      <c r="I734" s="14"/>
      <c r="J734" s="1"/>
      <c r="K734" s="1" t="s">
        <v>2001</v>
      </c>
      <c r="L734" s="1"/>
      <c r="M734" s="1"/>
      <c r="N734" s="1"/>
      <c r="O734" s="1"/>
      <c r="P734" s="6" t="s">
        <v>133</v>
      </c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21.75" hidden="false" customHeight="true" outlineLevel="0" collapsed="false">
      <c r="A735" s="4" t="n">
        <v>43481</v>
      </c>
      <c r="B735" s="18" t="s">
        <v>352</v>
      </c>
      <c r="C735" s="14" t="s">
        <v>15</v>
      </c>
      <c r="D735" s="14" t="s">
        <v>43</v>
      </c>
      <c r="E735" s="14" t="s">
        <v>109</v>
      </c>
      <c r="F735" s="19" t="s">
        <v>2002</v>
      </c>
      <c r="G735" s="18" t="n">
        <v>980175356</v>
      </c>
      <c r="H735" s="18" t="s">
        <v>2003</v>
      </c>
      <c r="I735" s="18"/>
      <c r="J735" s="1"/>
      <c r="K735" s="1" t="s">
        <v>1065</v>
      </c>
      <c r="L735" s="1"/>
      <c r="M735" s="1"/>
      <c r="N735" s="1"/>
      <c r="O735" s="1"/>
      <c r="P735" s="6" t="s">
        <v>133</v>
      </c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21.75" hidden="false" customHeight="true" outlineLevel="0" collapsed="false">
      <c r="A736" s="4" t="n">
        <v>43481</v>
      </c>
      <c r="B736" s="18" t="s">
        <v>352</v>
      </c>
      <c r="C736" s="14" t="s">
        <v>15</v>
      </c>
      <c r="D736" s="14" t="s">
        <v>43</v>
      </c>
      <c r="E736" s="14" t="s">
        <v>109</v>
      </c>
      <c r="F736" s="19" t="s">
        <v>2004</v>
      </c>
      <c r="G736" s="18" t="n">
        <v>990709548</v>
      </c>
      <c r="H736" s="18" t="s">
        <v>2005</v>
      </c>
      <c r="I736" s="18"/>
      <c r="J736" s="1"/>
      <c r="K736" s="1" t="s">
        <v>2006</v>
      </c>
      <c r="L736" s="1"/>
      <c r="M736" s="1"/>
      <c r="N736" s="1"/>
      <c r="O736" s="1"/>
      <c r="P736" s="6" t="s">
        <v>751</v>
      </c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21.75" hidden="false" customHeight="true" outlineLevel="0" collapsed="false">
      <c r="A737" s="4" t="n">
        <v>43481</v>
      </c>
      <c r="B737" s="14" t="s">
        <v>352</v>
      </c>
      <c r="C737" s="14" t="s">
        <v>15</v>
      </c>
      <c r="D737" s="14" t="s">
        <v>43</v>
      </c>
      <c r="E737" s="14" t="s">
        <v>109</v>
      </c>
      <c r="F737" s="14" t="s">
        <v>2007</v>
      </c>
      <c r="G737" s="14" t="n">
        <f aca="false">+593987596722</f>
        <v>593987596722</v>
      </c>
      <c r="H737" s="14" t="s">
        <v>2008</v>
      </c>
      <c r="I737" s="14"/>
      <c r="J737" s="1"/>
      <c r="K737" s="1" t="s">
        <v>21</v>
      </c>
      <c r="L737" s="1"/>
      <c r="M737" s="1"/>
      <c r="N737" s="1"/>
      <c r="O737" s="1"/>
      <c r="P737" s="6" t="s">
        <v>21</v>
      </c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21.75" hidden="false" customHeight="true" outlineLevel="0" collapsed="false">
      <c r="A738" s="4" t="n">
        <v>43481</v>
      </c>
      <c r="B738" s="14" t="s">
        <v>352</v>
      </c>
      <c r="C738" s="14" t="s">
        <v>15</v>
      </c>
      <c r="D738" s="14" t="s">
        <v>43</v>
      </c>
      <c r="E738" s="14" t="s">
        <v>109</v>
      </c>
      <c r="F738" s="14" t="s">
        <v>2009</v>
      </c>
      <c r="G738" s="14" t="n">
        <f aca="false">+593990738624</f>
        <v>593990738624</v>
      </c>
      <c r="H738" s="14" t="s">
        <v>2010</v>
      </c>
      <c r="I738" s="14"/>
      <c r="J738" s="1"/>
      <c r="K738" s="1" t="s">
        <v>345</v>
      </c>
      <c r="L738" s="1"/>
      <c r="M738" s="1"/>
      <c r="N738" s="1"/>
      <c r="O738" s="1"/>
      <c r="P738" s="6" t="s">
        <v>133</v>
      </c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21.75" hidden="false" customHeight="true" outlineLevel="0" collapsed="false">
      <c r="A739" s="4" t="n">
        <v>43481</v>
      </c>
      <c r="B739" s="14" t="s">
        <v>352</v>
      </c>
      <c r="C739" s="14" t="s">
        <v>15</v>
      </c>
      <c r="D739" s="14" t="s">
        <v>43</v>
      </c>
      <c r="E739" s="14" t="s">
        <v>109</v>
      </c>
      <c r="F739" s="14" t="s">
        <v>2011</v>
      </c>
      <c r="G739" s="14" t="n">
        <f aca="false">+593995606406</f>
        <v>593995606406</v>
      </c>
      <c r="H739" s="14" t="s">
        <v>2012</v>
      </c>
      <c r="I739" s="14"/>
      <c r="J739" s="1"/>
      <c r="K739" s="1" t="s">
        <v>21</v>
      </c>
      <c r="L739" s="1"/>
      <c r="M739" s="1"/>
      <c r="N739" s="1"/>
      <c r="O739" s="1"/>
      <c r="P739" s="6" t="s">
        <v>21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21.75" hidden="false" customHeight="true" outlineLevel="0" collapsed="false">
      <c r="A740" s="4" t="n">
        <v>43481</v>
      </c>
      <c r="B740" s="14" t="s">
        <v>352</v>
      </c>
      <c r="C740" s="14" t="s">
        <v>15</v>
      </c>
      <c r="D740" s="14" t="s">
        <v>43</v>
      </c>
      <c r="E740" s="14" t="s">
        <v>109</v>
      </c>
      <c r="F740" s="14" t="s">
        <v>2013</v>
      </c>
      <c r="G740" s="14" t="n">
        <f aca="false">+593981122325</f>
        <v>593981122325</v>
      </c>
      <c r="H740" s="14" t="s">
        <v>2014</v>
      </c>
      <c r="I740" s="14"/>
      <c r="J740" s="1"/>
      <c r="K740" s="1" t="s">
        <v>1030</v>
      </c>
      <c r="L740" s="1"/>
      <c r="M740" s="1"/>
      <c r="N740" s="1"/>
      <c r="O740" s="1"/>
      <c r="P740" s="6" t="s">
        <v>133</v>
      </c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21.75" hidden="false" customHeight="true" outlineLevel="0" collapsed="false">
      <c r="A741" s="4" t="n">
        <v>43481</v>
      </c>
      <c r="B741" s="18" t="s">
        <v>178</v>
      </c>
      <c r="C741" s="14" t="s">
        <v>15</v>
      </c>
      <c r="D741" s="14" t="s">
        <v>43</v>
      </c>
      <c r="E741" s="14" t="s">
        <v>44</v>
      </c>
      <c r="F741" s="14" t="s">
        <v>2015</v>
      </c>
      <c r="G741" s="14" t="n">
        <f aca="false">+593992859740</f>
        <v>593992859740</v>
      </c>
      <c r="H741" s="14" t="s">
        <v>2016</v>
      </c>
      <c r="I741" s="14"/>
      <c r="J741" s="1"/>
      <c r="K741" s="1" t="s">
        <v>2017</v>
      </c>
      <c r="L741" s="1"/>
      <c r="M741" s="1"/>
      <c r="N741" s="1"/>
      <c r="O741" s="1"/>
      <c r="P741" s="6" t="s">
        <v>133</v>
      </c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21.75" hidden="false" customHeight="true" outlineLevel="0" collapsed="false">
      <c r="A742" s="4" t="n">
        <v>43481</v>
      </c>
      <c r="B742" s="18" t="s">
        <v>178</v>
      </c>
      <c r="C742" s="14" t="s">
        <v>15</v>
      </c>
      <c r="D742" s="14" t="s">
        <v>43</v>
      </c>
      <c r="E742" s="14" t="s">
        <v>44</v>
      </c>
      <c r="F742" s="14" t="s">
        <v>2018</v>
      </c>
      <c r="G742" s="14" t="n">
        <f aca="false">+593983764992</f>
        <v>593983764992</v>
      </c>
      <c r="H742" s="14" t="s">
        <v>2019</v>
      </c>
      <c r="I742" s="14"/>
      <c r="J742" s="1"/>
      <c r="K742" s="1" t="s">
        <v>21</v>
      </c>
      <c r="L742" s="1"/>
      <c r="M742" s="1"/>
      <c r="N742" s="1"/>
      <c r="O742" s="1"/>
      <c r="P742" s="6" t="s">
        <v>21</v>
      </c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21.75" hidden="false" customHeight="true" outlineLevel="0" collapsed="false">
      <c r="A743" s="4" t="n">
        <v>43481</v>
      </c>
      <c r="B743" s="18" t="s">
        <v>178</v>
      </c>
      <c r="C743" s="14" t="s">
        <v>15</v>
      </c>
      <c r="D743" s="14" t="s">
        <v>43</v>
      </c>
      <c r="E743" s="14" t="s">
        <v>44</v>
      </c>
      <c r="F743" s="14" t="s">
        <v>2020</v>
      </c>
      <c r="G743" s="14" t="n">
        <f aca="false">+593996338443</f>
        <v>593996338443</v>
      </c>
      <c r="H743" s="14" t="s">
        <v>2021</v>
      </c>
      <c r="I743" s="14"/>
      <c r="J743" s="1"/>
      <c r="K743" s="1" t="s">
        <v>21</v>
      </c>
      <c r="L743" s="1"/>
      <c r="M743" s="1"/>
      <c r="N743" s="1"/>
      <c r="O743" s="1"/>
      <c r="P743" s="6" t="s">
        <v>21</v>
      </c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21.75" hidden="false" customHeight="true" outlineLevel="0" collapsed="false">
      <c r="A744" s="4" t="n">
        <v>43481</v>
      </c>
      <c r="B744" s="14" t="s">
        <v>178</v>
      </c>
      <c r="C744" s="14" t="s">
        <v>15</v>
      </c>
      <c r="D744" s="14" t="s">
        <v>43</v>
      </c>
      <c r="E744" s="14" t="s">
        <v>44</v>
      </c>
      <c r="F744" s="14" t="s">
        <v>2022</v>
      </c>
      <c r="G744" s="14" t="n">
        <f aca="false">+593989365918</f>
        <v>593989365918</v>
      </c>
      <c r="H744" s="14" t="s">
        <v>2023</v>
      </c>
      <c r="I744" s="14"/>
      <c r="J744" s="1"/>
      <c r="K744" s="1" t="s">
        <v>21</v>
      </c>
      <c r="L744" s="1"/>
      <c r="M744" s="1"/>
      <c r="N744" s="1"/>
      <c r="O744" s="1"/>
      <c r="P744" s="6" t="s">
        <v>21</v>
      </c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21.75" hidden="false" customHeight="true" outlineLevel="0" collapsed="false">
      <c r="A745" s="4" t="n">
        <v>43481</v>
      </c>
      <c r="B745" s="14" t="s">
        <v>178</v>
      </c>
      <c r="C745" s="14" t="s">
        <v>15</v>
      </c>
      <c r="D745" s="14" t="s">
        <v>43</v>
      </c>
      <c r="E745" s="14" t="s">
        <v>109</v>
      </c>
      <c r="F745" s="14" t="s">
        <v>2024</v>
      </c>
      <c r="G745" s="14" t="n">
        <f aca="false">+5930996323762</f>
        <v>5930996323762</v>
      </c>
      <c r="H745" s="14" t="s">
        <v>2025</v>
      </c>
      <c r="I745" s="14"/>
      <c r="J745" s="1"/>
      <c r="K745" s="1" t="s">
        <v>21</v>
      </c>
      <c r="L745" s="1"/>
      <c r="M745" s="1"/>
      <c r="N745" s="1"/>
      <c r="O745" s="1"/>
      <c r="P745" s="6" t="s">
        <v>21</v>
      </c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21.75" hidden="false" customHeight="true" outlineLevel="0" collapsed="false">
      <c r="A746" s="4" t="n">
        <v>43481</v>
      </c>
      <c r="B746" s="14" t="s">
        <v>178</v>
      </c>
      <c r="C746" s="14" t="s">
        <v>15</v>
      </c>
      <c r="D746" s="14" t="s">
        <v>43</v>
      </c>
      <c r="E746" s="14" t="s">
        <v>109</v>
      </c>
      <c r="F746" s="14" t="s">
        <v>2026</v>
      </c>
      <c r="G746" s="14" t="n">
        <f aca="false">+593994980202</f>
        <v>593994980202</v>
      </c>
      <c r="H746" s="14" t="s">
        <v>2027</v>
      </c>
      <c r="I746" s="14"/>
      <c r="J746" s="1"/>
      <c r="K746" s="1" t="s">
        <v>2028</v>
      </c>
      <c r="L746" s="1"/>
      <c r="M746" s="1"/>
      <c r="N746" s="1"/>
      <c r="O746" s="1"/>
      <c r="P746" s="6" t="s">
        <v>133</v>
      </c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21.75" hidden="false" customHeight="true" outlineLevel="0" collapsed="false">
      <c r="A747" s="4" t="n">
        <v>43481</v>
      </c>
      <c r="B747" s="18" t="s">
        <v>81</v>
      </c>
      <c r="C747" s="14" t="s">
        <v>15</v>
      </c>
      <c r="D747" s="14" t="s">
        <v>43</v>
      </c>
      <c r="E747" s="14" t="s">
        <v>44</v>
      </c>
      <c r="F747" s="14" t="s">
        <v>2029</v>
      </c>
      <c r="G747" s="14" t="n">
        <f aca="false">+593993501385</f>
        <v>593993501385</v>
      </c>
      <c r="H747" s="14" t="s">
        <v>2030</v>
      </c>
      <c r="I747" s="14"/>
      <c r="J747" s="1"/>
      <c r="K747" s="1" t="s">
        <v>21</v>
      </c>
      <c r="L747" s="1"/>
      <c r="M747" s="1"/>
      <c r="N747" s="1"/>
      <c r="O747" s="1"/>
      <c r="P747" s="6" t="s">
        <v>21</v>
      </c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21.75" hidden="false" customHeight="true" outlineLevel="0" collapsed="false">
      <c r="A748" s="4" t="n">
        <v>43481</v>
      </c>
      <c r="B748" s="18" t="s">
        <v>81</v>
      </c>
      <c r="C748" s="14" t="s">
        <v>15</v>
      </c>
      <c r="D748" s="14" t="s">
        <v>43</v>
      </c>
      <c r="E748" s="14" t="s">
        <v>44</v>
      </c>
      <c r="F748" s="14" t="s">
        <v>2031</v>
      </c>
      <c r="G748" s="14" t="n">
        <f aca="false">+5930982149821</f>
        <v>5930982149821</v>
      </c>
      <c r="H748" s="14" t="s">
        <v>1352</v>
      </c>
      <c r="I748" s="14"/>
      <c r="J748" s="1"/>
      <c r="K748" s="1" t="s">
        <v>21</v>
      </c>
      <c r="L748" s="1"/>
      <c r="M748" s="1"/>
      <c r="N748" s="1"/>
      <c r="O748" s="1"/>
      <c r="P748" s="6" t="s">
        <v>21</v>
      </c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21.75" hidden="false" customHeight="true" outlineLevel="0" collapsed="false">
      <c r="A749" s="4" t="n">
        <v>43481</v>
      </c>
      <c r="B749" s="18" t="s">
        <v>81</v>
      </c>
      <c r="C749" s="14" t="s">
        <v>15</v>
      </c>
      <c r="D749" s="14" t="s">
        <v>43</v>
      </c>
      <c r="E749" s="14" t="s">
        <v>44</v>
      </c>
      <c r="F749" s="14" t="s">
        <v>2032</v>
      </c>
      <c r="G749" s="14" t="n">
        <f aca="false">+593969110964</f>
        <v>593969110964</v>
      </c>
      <c r="H749" s="14" t="s">
        <v>2033</v>
      </c>
      <c r="I749" s="14"/>
      <c r="J749" s="1"/>
      <c r="K749" s="1" t="s">
        <v>21</v>
      </c>
      <c r="L749" s="1"/>
      <c r="M749" s="1"/>
      <c r="N749" s="1"/>
      <c r="O749" s="1"/>
      <c r="P749" s="6" t="s">
        <v>21</v>
      </c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21.75" hidden="false" customHeight="true" outlineLevel="0" collapsed="false">
      <c r="A750" s="4" t="n">
        <v>43481</v>
      </c>
      <c r="B750" s="14" t="s">
        <v>81</v>
      </c>
      <c r="C750" s="14" t="s">
        <v>15</v>
      </c>
      <c r="D750" s="14" t="s">
        <v>43</v>
      </c>
      <c r="E750" s="14" t="s">
        <v>109</v>
      </c>
      <c r="F750" s="14" t="s">
        <v>2034</v>
      </c>
      <c r="G750" s="14" t="n">
        <f aca="false">+593983865922</f>
        <v>593983865922</v>
      </c>
      <c r="H750" s="14" t="s">
        <v>2035</v>
      </c>
      <c r="I750" s="14"/>
      <c r="J750" s="1"/>
      <c r="K750" s="1" t="s">
        <v>21</v>
      </c>
      <c r="L750" s="1"/>
      <c r="M750" s="1"/>
      <c r="N750" s="1"/>
      <c r="O750" s="1"/>
      <c r="P750" s="6" t="s">
        <v>21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21.75" hidden="false" customHeight="true" outlineLevel="0" collapsed="false">
      <c r="A751" s="4" t="n">
        <v>43481</v>
      </c>
      <c r="B751" s="14" t="s">
        <v>81</v>
      </c>
      <c r="C751" s="14" t="s">
        <v>15</v>
      </c>
      <c r="D751" s="14" t="s">
        <v>43</v>
      </c>
      <c r="E751" s="14" t="s">
        <v>109</v>
      </c>
      <c r="F751" s="14" t="s">
        <v>2036</v>
      </c>
      <c r="G751" s="14" t="n">
        <f aca="false">+593999577097</f>
        <v>593999577097</v>
      </c>
      <c r="H751" s="14" t="s">
        <v>2037</v>
      </c>
      <c r="I751" s="14"/>
      <c r="J751" s="1"/>
      <c r="K751" s="1" t="s">
        <v>21</v>
      </c>
      <c r="L751" s="1"/>
      <c r="M751" s="1"/>
      <c r="N751" s="1"/>
      <c r="O751" s="1"/>
      <c r="P751" s="6" t="s">
        <v>21</v>
      </c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21.75" hidden="false" customHeight="true" outlineLevel="0" collapsed="false">
      <c r="A752" s="4" t="n">
        <v>43481</v>
      </c>
      <c r="B752" s="14" t="s">
        <v>81</v>
      </c>
      <c r="C752" s="14" t="s">
        <v>15</v>
      </c>
      <c r="D752" s="14" t="s">
        <v>43</v>
      </c>
      <c r="E752" s="14" t="s">
        <v>109</v>
      </c>
      <c r="F752" s="14" t="s">
        <v>2038</v>
      </c>
      <c r="G752" s="14" t="n">
        <f aca="false">+593978796866</f>
        <v>593978796866</v>
      </c>
      <c r="H752" s="14" t="s">
        <v>2039</v>
      </c>
      <c r="I752" s="14"/>
      <c r="J752" s="1"/>
      <c r="K752" s="1" t="s">
        <v>21</v>
      </c>
      <c r="L752" s="1"/>
      <c r="M752" s="1"/>
      <c r="N752" s="1"/>
      <c r="O752" s="1"/>
      <c r="P752" s="6" t="s">
        <v>21</v>
      </c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21.75" hidden="false" customHeight="true" outlineLevel="0" collapsed="false">
      <c r="A753" s="4" t="n">
        <v>43481</v>
      </c>
      <c r="B753" s="14" t="s">
        <v>81</v>
      </c>
      <c r="C753" s="14" t="s">
        <v>15</v>
      </c>
      <c r="D753" s="14" t="s">
        <v>43</v>
      </c>
      <c r="E753" s="14" t="s">
        <v>109</v>
      </c>
      <c r="F753" s="14" t="s">
        <v>2040</v>
      </c>
      <c r="G753" s="14" t="n">
        <f aca="false">+593939884611</f>
        <v>593939884611</v>
      </c>
      <c r="H753" s="14" t="s">
        <v>2041</v>
      </c>
      <c r="I753" s="14"/>
      <c r="J753" s="1"/>
      <c r="K753" s="1" t="s">
        <v>2042</v>
      </c>
      <c r="L753" s="1"/>
      <c r="M753" s="1"/>
      <c r="N753" s="1"/>
      <c r="O753" s="1"/>
      <c r="P753" s="6" t="s">
        <v>751</v>
      </c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21.75" hidden="false" customHeight="true" outlineLevel="0" collapsed="false">
      <c r="A754" s="4" t="n">
        <v>43481</v>
      </c>
      <c r="B754" s="18" t="s">
        <v>81</v>
      </c>
      <c r="C754" s="14" t="s">
        <v>15</v>
      </c>
      <c r="D754" s="14" t="s">
        <v>43</v>
      </c>
      <c r="E754" s="14" t="s">
        <v>109</v>
      </c>
      <c r="F754" s="19" t="s">
        <v>2043</v>
      </c>
      <c r="G754" s="18" t="n">
        <v>981305047</v>
      </c>
      <c r="H754" s="18" t="s">
        <v>2044</v>
      </c>
      <c r="I754" s="18"/>
      <c r="J754" s="1"/>
      <c r="K754" s="1" t="s">
        <v>21</v>
      </c>
      <c r="L754" s="1"/>
      <c r="M754" s="1"/>
      <c r="N754" s="1"/>
      <c r="O754" s="1"/>
      <c r="P754" s="6" t="s">
        <v>21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21.75" hidden="false" customHeight="true" outlineLevel="0" collapsed="false">
      <c r="A755" s="4" t="n">
        <v>43481</v>
      </c>
      <c r="B755" s="18" t="s">
        <v>81</v>
      </c>
      <c r="C755" s="14" t="s">
        <v>15</v>
      </c>
      <c r="D755" s="14" t="s">
        <v>43</v>
      </c>
      <c r="E755" s="14" t="s">
        <v>109</v>
      </c>
      <c r="F755" s="19" t="s">
        <v>2045</v>
      </c>
      <c r="G755" s="18" t="n">
        <v>996476971</v>
      </c>
      <c r="H755" s="18" t="s">
        <v>2046</v>
      </c>
      <c r="I755" s="18"/>
      <c r="J755" s="1"/>
      <c r="K755" s="1" t="s">
        <v>727</v>
      </c>
      <c r="L755" s="1"/>
      <c r="M755" s="1"/>
      <c r="N755" s="1"/>
      <c r="O755" s="1"/>
      <c r="P755" s="6" t="s">
        <v>133</v>
      </c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21.75" hidden="false" customHeight="true" outlineLevel="0" collapsed="false">
      <c r="A756" s="4" t="n">
        <v>43481</v>
      </c>
      <c r="B756" s="14" t="s">
        <v>81</v>
      </c>
      <c r="C756" s="14" t="s">
        <v>26</v>
      </c>
      <c r="D756" s="14" t="s">
        <v>43</v>
      </c>
      <c r="E756" s="14" t="s">
        <v>109</v>
      </c>
      <c r="F756" s="14" t="s">
        <v>2047</v>
      </c>
      <c r="G756" s="14" t="n">
        <f aca="false">+593939965034</f>
        <v>593939965034</v>
      </c>
      <c r="H756" s="14" t="s">
        <v>2048</v>
      </c>
      <c r="I756" s="14"/>
      <c r="J756" s="1"/>
      <c r="K756" s="1" t="s">
        <v>21</v>
      </c>
      <c r="L756" s="1"/>
      <c r="M756" s="1"/>
      <c r="N756" s="1"/>
      <c r="O756" s="1"/>
      <c r="P756" s="6" t="s">
        <v>21</v>
      </c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21.75" hidden="false" customHeight="true" outlineLevel="0" collapsed="false">
      <c r="A757" s="4" t="n">
        <v>43481</v>
      </c>
      <c r="B757" s="18" t="s">
        <v>911</v>
      </c>
      <c r="C757" s="14" t="s">
        <v>15</v>
      </c>
      <c r="D757" s="14" t="s">
        <v>16</v>
      </c>
      <c r="E757" s="14" t="s">
        <v>17</v>
      </c>
      <c r="F757" s="19" t="s">
        <v>2049</v>
      </c>
      <c r="G757" s="18" t="n">
        <v>984884482</v>
      </c>
      <c r="H757" s="18" t="s">
        <v>2050</v>
      </c>
      <c r="I757" s="18"/>
      <c r="J757" s="1"/>
      <c r="K757" s="1" t="s">
        <v>2051</v>
      </c>
      <c r="L757" s="1"/>
      <c r="M757" s="1"/>
      <c r="N757" s="1"/>
      <c r="O757" s="1"/>
      <c r="P757" s="6" t="s">
        <v>751</v>
      </c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21.75" hidden="false" customHeight="true" outlineLevel="0" collapsed="false">
      <c r="A758" s="4" t="n">
        <v>43481</v>
      </c>
      <c r="B758" s="14" t="s">
        <v>911</v>
      </c>
      <c r="C758" s="14" t="s">
        <v>26</v>
      </c>
      <c r="D758" s="14" t="s">
        <v>16</v>
      </c>
      <c r="E758" s="14" t="s">
        <v>17</v>
      </c>
      <c r="F758" s="14" t="s">
        <v>2052</v>
      </c>
      <c r="G758" s="14" t="n">
        <f aca="false">+593959923975</f>
        <v>593959923975</v>
      </c>
      <c r="H758" s="14" t="s">
        <v>2053</v>
      </c>
      <c r="I758" s="14"/>
      <c r="J758" s="1"/>
      <c r="K758" s="1" t="s">
        <v>21</v>
      </c>
      <c r="L758" s="1"/>
      <c r="M758" s="1"/>
      <c r="N758" s="1"/>
      <c r="O758" s="1"/>
      <c r="P758" s="6" t="s">
        <v>21</v>
      </c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21.75" hidden="false" customHeight="true" outlineLevel="0" collapsed="false">
      <c r="A759" s="4" t="n">
        <v>43481</v>
      </c>
      <c r="B759" s="11" t="s">
        <v>286</v>
      </c>
      <c r="C759" s="14" t="s">
        <v>15</v>
      </c>
      <c r="D759" s="14" t="s">
        <v>16</v>
      </c>
      <c r="E759" s="14" t="s">
        <v>17</v>
      </c>
      <c r="F759" s="14" t="s">
        <v>2054</v>
      </c>
      <c r="G759" s="14" t="n">
        <f aca="false">+593998540468</f>
        <v>593998540468</v>
      </c>
      <c r="H759" s="14" t="s">
        <v>2055</v>
      </c>
      <c r="I759" s="14"/>
      <c r="J759" s="1"/>
      <c r="K759" s="1" t="s">
        <v>2056</v>
      </c>
      <c r="L759" s="1"/>
      <c r="M759" s="1"/>
      <c r="N759" s="1"/>
      <c r="O759" s="1"/>
      <c r="P759" s="6" t="s">
        <v>133</v>
      </c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21.75" hidden="false" customHeight="true" outlineLevel="0" collapsed="false">
      <c r="A760" s="4" t="n">
        <v>43481</v>
      </c>
      <c r="B760" s="11" t="s">
        <v>286</v>
      </c>
      <c r="C760" s="14" t="s">
        <v>15</v>
      </c>
      <c r="D760" s="14" t="s">
        <v>16</v>
      </c>
      <c r="E760" s="14" t="s">
        <v>17</v>
      </c>
      <c r="F760" s="14" t="s">
        <v>2057</v>
      </c>
      <c r="G760" s="14" t="n">
        <f aca="false">+593994322255</f>
        <v>593994322255</v>
      </c>
      <c r="H760" s="14" t="s">
        <v>2058</v>
      </c>
      <c r="I760" s="14"/>
      <c r="J760" s="1"/>
      <c r="K760" s="1" t="s">
        <v>2059</v>
      </c>
      <c r="L760" s="1"/>
      <c r="M760" s="1"/>
      <c r="N760" s="1"/>
      <c r="O760" s="1"/>
      <c r="P760" s="6" t="s">
        <v>133</v>
      </c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21.75" hidden="false" customHeight="true" outlineLevel="0" collapsed="false">
      <c r="A761" s="4" t="n">
        <v>43481</v>
      </c>
      <c r="B761" s="11" t="s">
        <v>286</v>
      </c>
      <c r="C761" s="14" t="s">
        <v>15</v>
      </c>
      <c r="D761" s="14" t="s">
        <v>16</v>
      </c>
      <c r="E761" s="14" t="s">
        <v>17</v>
      </c>
      <c r="F761" s="14" t="s">
        <v>2060</v>
      </c>
      <c r="G761" s="14" t="n">
        <f aca="false">+5930982942487</f>
        <v>5930982942487</v>
      </c>
      <c r="H761" s="14" t="s">
        <v>2061</v>
      </c>
      <c r="I761" s="14"/>
      <c r="J761" s="1"/>
      <c r="K761" s="1" t="s">
        <v>21</v>
      </c>
      <c r="L761" s="1"/>
      <c r="M761" s="1"/>
      <c r="N761" s="1"/>
      <c r="O761" s="1"/>
      <c r="P761" s="6" t="s">
        <v>21</v>
      </c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21.75" hidden="false" customHeight="true" outlineLevel="0" collapsed="false">
      <c r="A762" s="4" t="n">
        <v>43481</v>
      </c>
      <c r="B762" s="18" t="s">
        <v>86</v>
      </c>
      <c r="C762" s="14" t="s">
        <v>26</v>
      </c>
      <c r="D762" s="14" t="s">
        <v>16</v>
      </c>
      <c r="E762" s="14" t="s">
        <v>17</v>
      </c>
      <c r="F762" s="14" t="s">
        <v>2062</v>
      </c>
      <c r="G762" s="14" t="n">
        <f aca="false">+593979459866</f>
        <v>593979459866</v>
      </c>
      <c r="H762" s="14" t="s">
        <v>2063</v>
      </c>
      <c r="I762" s="14"/>
      <c r="J762" s="1"/>
      <c r="K762" s="1" t="s">
        <v>21</v>
      </c>
      <c r="L762" s="1"/>
      <c r="M762" s="1"/>
      <c r="N762" s="1"/>
      <c r="O762" s="1"/>
      <c r="P762" s="6" t="s">
        <v>21</v>
      </c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21.75" hidden="false" customHeight="true" outlineLevel="0" collapsed="false">
      <c r="A763" s="4" t="n">
        <v>43481</v>
      </c>
      <c r="B763" s="18" t="s">
        <v>86</v>
      </c>
      <c r="C763" s="14" t="s">
        <v>15</v>
      </c>
      <c r="D763" s="14" t="s">
        <v>16</v>
      </c>
      <c r="E763" s="14" t="s">
        <v>17</v>
      </c>
      <c r="F763" s="14" t="s">
        <v>2064</v>
      </c>
      <c r="G763" s="14" t="n">
        <f aca="false">+593996727306</f>
        <v>593996727306</v>
      </c>
      <c r="H763" s="14" t="s">
        <v>2065</v>
      </c>
      <c r="I763" s="14"/>
      <c r="J763" s="1"/>
      <c r="K763" s="1" t="s">
        <v>263</v>
      </c>
      <c r="L763" s="1"/>
      <c r="M763" s="1"/>
      <c r="N763" s="1"/>
      <c r="O763" s="1"/>
      <c r="P763" s="6" t="s">
        <v>341</v>
      </c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21.75" hidden="false" customHeight="true" outlineLevel="0" collapsed="false">
      <c r="A764" s="4" t="n">
        <v>43481</v>
      </c>
      <c r="B764" s="18" t="s">
        <v>86</v>
      </c>
      <c r="C764" s="14" t="s">
        <v>15</v>
      </c>
      <c r="D764" s="14" t="s">
        <v>16</v>
      </c>
      <c r="E764" s="14" t="s">
        <v>17</v>
      </c>
      <c r="F764" s="14" t="s">
        <v>2066</v>
      </c>
      <c r="G764" s="14" t="n">
        <f aca="false">+5930984278455</f>
        <v>5930984278455</v>
      </c>
      <c r="H764" s="14" t="s">
        <v>2067</v>
      </c>
      <c r="I764" s="14"/>
      <c r="J764" s="1"/>
      <c r="K764" s="1" t="s">
        <v>21</v>
      </c>
      <c r="L764" s="1"/>
      <c r="M764" s="1"/>
      <c r="N764" s="1"/>
      <c r="O764" s="1"/>
      <c r="P764" s="6" t="s">
        <v>21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21.75" hidden="false" customHeight="true" outlineLevel="0" collapsed="false">
      <c r="A765" s="4" t="n">
        <v>43481</v>
      </c>
      <c r="B765" s="18" t="s">
        <v>86</v>
      </c>
      <c r="C765" s="14" t="s">
        <v>15</v>
      </c>
      <c r="D765" s="14" t="s">
        <v>16</v>
      </c>
      <c r="E765" s="14" t="s">
        <v>17</v>
      </c>
      <c r="F765" s="14" t="s">
        <v>2068</v>
      </c>
      <c r="G765" s="14" t="n">
        <f aca="false">+593939939592</f>
        <v>593939939592</v>
      </c>
      <c r="H765" s="14" t="s">
        <v>2069</v>
      </c>
      <c r="I765" s="14"/>
      <c r="J765" s="1"/>
      <c r="K765" s="1" t="s">
        <v>727</v>
      </c>
      <c r="L765" s="1"/>
      <c r="M765" s="1"/>
      <c r="N765" s="1"/>
      <c r="O765" s="1"/>
      <c r="P765" s="6" t="s">
        <v>133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21.75" hidden="false" customHeight="true" outlineLevel="0" collapsed="false">
      <c r="A766" s="4" t="n">
        <v>43481</v>
      </c>
      <c r="B766" s="18" t="s">
        <v>86</v>
      </c>
      <c r="C766" s="14" t="s">
        <v>15</v>
      </c>
      <c r="D766" s="14" t="s">
        <v>16</v>
      </c>
      <c r="E766" s="14" t="s">
        <v>17</v>
      </c>
      <c r="F766" s="14" t="s">
        <v>2070</v>
      </c>
      <c r="G766" s="14" t="n">
        <f aca="false">+593985944583</f>
        <v>593985944583</v>
      </c>
      <c r="H766" s="14" t="s">
        <v>2071</v>
      </c>
      <c r="I766" s="14"/>
      <c r="J766" s="1"/>
      <c r="K766" s="1" t="s">
        <v>21</v>
      </c>
      <c r="L766" s="1"/>
      <c r="M766" s="1"/>
      <c r="N766" s="1"/>
      <c r="O766" s="1"/>
      <c r="P766" s="6" t="s">
        <v>21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21.75" hidden="false" customHeight="true" outlineLevel="0" collapsed="false">
      <c r="A767" s="4" t="n">
        <v>43481</v>
      </c>
      <c r="B767" s="18" t="s">
        <v>86</v>
      </c>
      <c r="C767" s="14" t="s">
        <v>15</v>
      </c>
      <c r="D767" s="14" t="s">
        <v>16</v>
      </c>
      <c r="E767" s="14" t="s">
        <v>17</v>
      </c>
      <c r="F767" s="19" t="s">
        <v>2072</v>
      </c>
      <c r="G767" s="18" t="n">
        <v>989112162</v>
      </c>
      <c r="H767" s="18" t="s">
        <v>2073</v>
      </c>
      <c r="I767" s="18"/>
      <c r="J767" s="1"/>
      <c r="K767" s="1" t="s">
        <v>2074</v>
      </c>
      <c r="L767" s="1"/>
      <c r="M767" s="1"/>
      <c r="N767" s="1"/>
      <c r="O767" s="1"/>
      <c r="P767" s="6" t="s">
        <v>133</v>
      </c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21.75" hidden="false" customHeight="true" outlineLevel="0" collapsed="false">
      <c r="A768" s="4" t="n">
        <v>43481</v>
      </c>
      <c r="B768" s="18" t="s">
        <v>86</v>
      </c>
      <c r="C768" s="14" t="s">
        <v>15</v>
      </c>
      <c r="D768" s="14" t="s">
        <v>16</v>
      </c>
      <c r="E768" s="14" t="s">
        <v>17</v>
      </c>
      <c r="F768" s="18" t="s">
        <v>2075</v>
      </c>
      <c r="G768" s="18" t="n">
        <v>991045026</v>
      </c>
      <c r="H768" s="18" t="s">
        <v>2076</v>
      </c>
      <c r="I768" s="18"/>
      <c r="J768" s="1"/>
      <c r="K768" s="1" t="s">
        <v>21</v>
      </c>
      <c r="L768" s="1"/>
      <c r="M768" s="1"/>
      <c r="N768" s="1"/>
      <c r="O768" s="1"/>
      <c r="P768" s="6" t="s">
        <v>21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21.75" hidden="false" customHeight="true" outlineLevel="0" collapsed="false">
      <c r="A769" s="4" t="n">
        <v>43481</v>
      </c>
      <c r="B769" s="18" t="s">
        <v>86</v>
      </c>
      <c r="C769" s="14" t="s">
        <v>15</v>
      </c>
      <c r="D769" s="14" t="s">
        <v>16</v>
      </c>
      <c r="E769" s="14" t="s">
        <v>17</v>
      </c>
      <c r="F769" s="19" t="s">
        <v>2077</v>
      </c>
      <c r="G769" s="18" t="n">
        <v>993704398</v>
      </c>
      <c r="H769" s="26" t="s">
        <v>2078</v>
      </c>
      <c r="I769" s="26"/>
      <c r="J769" s="1"/>
      <c r="K769" s="1" t="s">
        <v>345</v>
      </c>
      <c r="L769" s="1"/>
      <c r="M769" s="1"/>
      <c r="N769" s="1"/>
      <c r="O769" s="1"/>
      <c r="P769" s="6" t="s">
        <v>133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21.75" hidden="false" customHeight="true" outlineLevel="0" collapsed="false">
      <c r="A770" s="4" t="n">
        <v>43481</v>
      </c>
      <c r="B770" s="18" t="s">
        <v>86</v>
      </c>
      <c r="C770" s="14" t="s">
        <v>15</v>
      </c>
      <c r="D770" s="14" t="s">
        <v>16</v>
      </c>
      <c r="E770" s="14" t="s">
        <v>17</v>
      </c>
      <c r="F770" s="19" t="s">
        <v>2079</v>
      </c>
      <c r="G770" s="18" t="n">
        <v>995467646</v>
      </c>
      <c r="H770" s="18" t="s">
        <v>2080</v>
      </c>
      <c r="I770" s="18"/>
      <c r="J770" s="1"/>
      <c r="K770" s="1" t="s">
        <v>21</v>
      </c>
      <c r="L770" s="1"/>
      <c r="M770" s="1"/>
      <c r="N770" s="1"/>
      <c r="O770" s="1"/>
      <c r="P770" s="6" t="s">
        <v>21</v>
      </c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21.75" hidden="false" customHeight="true" outlineLevel="0" collapsed="false">
      <c r="A771" s="4" t="n">
        <v>43481</v>
      </c>
      <c r="B771" s="18" t="s">
        <v>86</v>
      </c>
      <c r="C771" s="14" t="s">
        <v>26</v>
      </c>
      <c r="D771" s="14" t="s">
        <v>16</v>
      </c>
      <c r="E771" s="14" t="s">
        <v>17</v>
      </c>
      <c r="F771" s="14" t="s">
        <v>2081</v>
      </c>
      <c r="G771" s="14" t="n">
        <f aca="false">+593991004739</f>
        <v>593991004739</v>
      </c>
      <c r="H771" s="14" t="s">
        <v>2082</v>
      </c>
      <c r="I771" s="14"/>
      <c r="J771" s="1"/>
      <c r="K771" s="1" t="s">
        <v>2083</v>
      </c>
      <c r="L771" s="1"/>
      <c r="M771" s="1"/>
      <c r="N771" s="1"/>
      <c r="O771" s="1"/>
      <c r="P771" s="6" t="s">
        <v>133</v>
      </c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21.75" hidden="false" customHeight="true" outlineLevel="0" collapsed="false">
      <c r="A772" s="4" t="n">
        <v>43482</v>
      </c>
      <c r="B772" s="18" t="s">
        <v>14</v>
      </c>
      <c r="C772" s="14" t="s">
        <v>15</v>
      </c>
      <c r="D772" s="14" t="s">
        <v>16</v>
      </c>
      <c r="E772" s="14" t="s">
        <v>17</v>
      </c>
      <c r="F772" s="14" t="s">
        <v>2084</v>
      </c>
      <c r="G772" s="14" t="n">
        <f aca="false">+593980042534</f>
        <v>593980042534</v>
      </c>
      <c r="H772" s="14" t="s">
        <v>2085</v>
      </c>
      <c r="I772" s="14"/>
      <c r="J772" s="1"/>
      <c r="K772" s="1" t="s">
        <v>21</v>
      </c>
      <c r="L772" s="1"/>
      <c r="M772" s="1"/>
      <c r="N772" s="1"/>
      <c r="O772" s="1"/>
      <c r="P772" s="6" t="s">
        <v>21</v>
      </c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21.75" hidden="false" customHeight="true" outlineLevel="0" collapsed="false">
      <c r="A773" s="4" t="n">
        <v>43482</v>
      </c>
      <c r="B773" s="18" t="s">
        <v>14</v>
      </c>
      <c r="C773" s="14" t="s">
        <v>15</v>
      </c>
      <c r="D773" s="14" t="s">
        <v>16</v>
      </c>
      <c r="E773" s="14" t="s">
        <v>17</v>
      </c>
      <c r="F773" s="14" t="s">
        <v>2086</v>
      </c>
      <c r="G773" s="14" t="n">
        <f aca="false">+593959657557</f>
        <v>593959657557</v>
      </c>
      <c r="H773" s="14" t="s">
        <v>2087</v>
      </c>
      <c r="I773" s="14"/>
      <c r="J773" s="1"/>
      <c r="K773" s="1" t="s">
        <v>21</v>
      </c>
      <c r="L773" s="1"/>
      <c r="M773" s="1"/>
      <c r="N773" s="1"/>
      <c r="O773" s="1"/>
      <c r="P773" s="6" t="s">
        <v>21</v>
      </c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21.75" hidden="false" customHeight="true" outlineLevel="0" collapsed="false">
      <c r="A774" s="4" t="n">
        <v>43482</v>
      </c>
      <c r="B774" s="18" t="s">
        <v>14</v>
      </c>
      <c r="C774" s="14" t="s">
        <v>15</v>
      </c>
      <c r="D774" s="14" t="s">
        <v>16</v>
      </c>
      <c r="E774" s="14" t="s">
        <v>17</v>
      </c>
      <c r="F774" s="14" t="s">
        <v>2088</v>
      </c>
      <c r="G774" s="14" t="n">
        <f aca="false">+5930993167100</f>
        <v>5930993167100</v>
      </c>
      <c r="H774" s="14" t="s">
        <v>2089</v>
      </c>
      <c r="I774" s="14"/>
      <c r="J774" s="1"/>
      <c r="K774" s="1" t="s">
        <v>2090</v>
      </c>
      <c r="L774" s="1"/>
      <c r="M774" s="1"/>
      <c r="N774" s="1"/>
      <c r="O774" s="1"/>
      <c r="P774" s="6" t="s">
        <v>133</v>
      </c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21.75" hidden="false" customHeight="true" outlineLevel="0" collapsed="false">
      <c r="A775" s="4" t="n">
        <v>43482</v>
      </c>
      <c r="B775" s="18" t="s">
        <v>14</v>
      </c>
      <c r="C775" s="14" t="s">
        <v>15</v>
      </c>
      <c r="D775" s="14" t="s">
        <v>16</v>
      </c>
      <c r="E775" s="14" t="s">
        <v>17</v>
      </c>
      <c r="F775" s="14" t="s">
        <v>2091</v>
      </c>
      <c r="G775" s="14" t="n">
        <f aca="false">+593996218540</f>
        <v>593996218540</v>
      </c>
      <c r="H775" s="14" t="s">
        <v>2092</v>
      </c>
      <c r="I775" s="14"/>
      <c r="J775" s="1"/>
      <c r="K775" s="1" t="s">
        <v>1096</v>
      </c>
      <c r="L775" s="1"/>
      <c r="M775" s="1"/>
      <c r="N775" s="1"/>
      <c r="O775" s="1"/>
      <c r="P775" s="6" t="s">
        <v>133</v>
      </c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21.75" hidden="false" customHeight="true" outlineLevel="0" collapsed="false">
      <c r="A776" s="4" t="n">
        <v>43482</v>
      </c>
      <c r="B776" s="18" t="s">
        <v>14</v>
      </c>
      <c r="C776" s="14" t="s">
        <v>15</v>
      </c>
      <c r="D776" s="14" t="s">
        <v>16</v>
      </c>
      <c r="E776" s="14" t="s">
        <v>17</v>
      </c>
      <c r="F776" s="14" t="s">
        <v>2093</v>
      </c>
      <c r="G776" s="14" t="n">
        <f aca="false">+593995140990</f>
        <v>593995140990</v>
      </c>
      <c r="H776" s="14" t="s">
        <v>2094</v>
      </c>
      <c r="I776" s="14"/>
      <c r="J776" s="1"/>
      <c r="K776" s="1" t="s">
        <v>2095</v>
      </c>
      <c r="L776" s="1"/>
      <c r="M776" s="1"/>
      <c r="N776" s="1"/>
      <c r="O776" s="1"/>
      <c r="P776" s="6" t="s">
        <v>133</v>
      </c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21.75" hidden="false" customHeight="true" outlineLevel="0" collapsed="false">
      <c r="A777" s="4" t="n">
        <v>43482</v>
      </c>
      <c r="B777" s="18" t="s">
        <v>14</v>
      </c>
      <c r="C777" s="14" t="s">
        <v>15</v>
      </c>
      <c r="D777" s="14" t="s">
        <v>16</v>
      </c>
      <c r="E777" s="14" t="s">
        <v>17</v>
      </c>
      <c r="F777" s="14" t="s">
        <v>2096</v>
      </c>
      <c r="G777" s="14" t="n">
        <f aca="false">+593968381360</f>
        <v>593968381360</v>
      </c>
      <c r="H777" s="14" t="s">
        <v>2097</v>
      </c>
      <c r="I777" s="14"/>
      <c r="J777" s="1"/>
      <c r="K777" s="1" t="s">
        <v>21</v>
      </c>
      <c r="L777" s="1"/>
      <c r="M777" s="1"/>
      <c r="N777" s="1"/>
      <c r="O777" s="1"/>
      <c r="P777" s="6" t="s">
        <v>21</v>
      </c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21.75" hidden="false" customHeight="true" outlineLevel="0" collapsed="false">
      <c r="A778" s="4" t="n">
        <v>43482</v>
      </c>
      <c r="B778" s="18" t="s">
        <v>14</v>
      </c>
      <c r="C778" s="14" t="s">
        <v>15</v>
      </c>
      <c r="D778" s="14" t="s">
        <v>16</v>
      </c>
      <c r="E778" s="14" t="s">
        <v>17</v>
      </c>
      <c r="F778" s="14" t="s">
        <v>2098</v>
      </c>
      <c r="G778" s="14" t="n">
        <f aca="false">+593985222360</f>
        <v>593985222360</v>
      </c>
      <c r="H778" s="14" t="s">
        <v>2099</v>
      </c>
      <c r="I778" s="14"/>
      <c r="J778" s="1"/>
      <c r="K778" s="1" t="s">
        <v>21</v>
      </c>
      <c r="L778" s="1"/>
      <c r="M778" s="1"/>
      <c r="N778" s="1"/>
      <c r="O778" s="1"/>
      <c r="P778" s="6" t="s">
        <v>21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21.75" hidden="false" customHeight="true" outlineLevel="0" collapsed="false">
      <c r="A779" s="4" t="n">
        <v>43482</v>
      </c>
      <c r="B779" s="18" t="s">
        <v>14</v>
      </c>
      <c r="C779" s="14" t="s">
        <v>15</v>
      </c>
      <c r="D779" s="14" t="s">
        <v>16</v>
      </c>
      <c r="E779" s="14" t="s">
        <v>17</v>
      </c>
      <c r="F779" s="14" t="s">
        <v>2100</v>
      </c>
      <c r="G779" s="14" t="n">
        <f aca="false">+593979453056</f>
        <v>593979453056</v>
      </c>
      <c r="H779" s="14" t="s">
        <v>2101</v>
      </c>
      <c r="I779" s="14"/>
      <c r="J779" s="1"/>
      <c r="K779" s="1" t="s">
        <v>21</v>
      </c>
      <c r="L779" s="1"/>
      <c r="M779" s="1"/>
      <c r="N779" s="1"/>
      <c r="O779" s="1"/>
      <c r="P779" s="6" t="s">
        <v>21</v>
      </c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21.75" hidden="false" customHeight="true" outlineLevel="0" collapsed="false">
      <c r="A780" s="4" t="n">
        <v>43482</v>
      </c>
      <c r="B780" s="8" t="s">
        <v>42</v>
      </c>
      <c r="C780" s="14" t="s">
        <v>15</v>
      </c>
      <c r="D780" s="14" t="s">
        <v>43</v>
      </c>
      <c r="E780" s="14" t="s">
        <v>44</v>
      </c>
      <c r="F780" s="14" t="s">
        <v>2102</v>
      </c>
      <c r="G780" s="14" t="n">
        <f aca="false">+593996537304</f>
        <v>593996537304</v>
      </c>
      <c r="H780" s="14" t="s">
        <v>2103</v>
      </c>
      <c r="I780" s="14"/>
      <c r="J780" s="1"/>
      <c r="K780" s="1" t="s">
        <v>21</v>
      </c>
      <c r="L780" s="1"/>
      <c r="M780" s="1"/>
      <c r="N780" s="1"/>
      <c r="O780" s="1"/>
      <c r="P780" s="6" t="s">
        <v>21</v>
      </c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21.75" hidden="false" customHeight="true" outlineLevel="0" collapsed="false">
      <c r="A781" s="4" t="n">
        <v>43482</v>
      </c>
      <c r="B781" s="8" t="s">
        <v>42</v>
      </c>
      <c r="C781" s="14" t="s">
        <v>15</v>
      </c>
      <c r="D781" s="14" t="s">
        <v>43</v>
      </c>
      <c r="E781" s="14" t="s">
        <v>44</v>
      </c>
      <c r="F781" s="14" t="s">
        <v>2104</v>
      </c>
      <c r="G781" s="14" t="n">
        <f aca="false">+593959052276</f>
        <v>593959052276</v>
      </c>
      <c r="H781" s="14" t="s">
        <v>2105</v>
      </c>
      <c r="I781" s="14"/>
      <c r="J781" s="1"/>
      <c r="K781" s="1" t="s">
        <v>2106</v>
      </c>
      <c r="L781" s="1"/>
      <c r="M781" s="1"/>
      <c r="N781" s="1"/>
      <c r="O781" s="1"/>
      <c r="P781" s="6" t="s">
        <v>133</v>
      </c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21.75" hidden="false" customHeight="true" outlineLevel="0" collapsed="false">
      <c r="A782" s="4" t="n">
        <v>43482</v>
      </c>
      <c r="B782" s="8" t="s">
        <v>42</v>
      </c>
      <c r="C782" s="14" t="s">
        <v>15</v>
      </c>
      <c r="D782" s="14" t="s">
        <v>43</v>
      </c>
      <c r="E782" s="14" t="s">
        <v>109</v>
      </c>
      <c r="F782" s="14" t="s">
        <v>2107</v>
      </c>
      <c r="G782" s="14" t="n">
        <v>961236011</v>
      </c>
      <c r="H782" s="14" t="s">
        <v>2108</v>
      </c>
      <c r="I782" s="14"/>
      <c r="J782" s="1"/>
      <c r="K782" s="1" t="s">
        <v>21</v>
      </c>
      <c r="L782" s="1"/>
      <c r="M782" s="1"/>
      <c r="N782" s="1"/>
      <c r="O782" s="1"/>
      <c r="P782" s="6" t="s">
        <v>21</v>
      </c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21.75" hidden="false" customHeight="true" outlineLevel="0" collapsed="false">
      <c r="A783" s="4" t="n">
        <v>43482</v>
      </c>
      <c r="B783" s="8" t="s">
        <v>42</v>
      </c>
      <c r="C783" s="14" t="s">
        <v>26</v>
      </c>
      <c r="D783" s="14" t="s">
        <v>43</v>
      </c>
      <c r="E783" s="14" t="s">
        <v>109</v>
      </c>
      <c r="F783" s="14" t="s">
        <v>2109</v>
      </c>
      <c r="G783" s="14" t="n">
        <f aca="false">+5930959172749</f>
        <v>5930959172749</v>
      </c>
      <c r="H783" s="14" t="s">
        <v>2110</v>
      </c>
      <c r="I783" s="14"/>
      <c r="J783" s="1"/>
      <c r="K783" s="1" t="s">
        <v>21</v>
      </c>
      <c r="L783" s="1"/>
      <c r="M783" s="1"/>
      <c r="N783" s="1"/>
      <c r="O783" s="1"/>
      <c r="P783" s="6" t="s">
        <v>21</v>
      </c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21.75" hidden="false" customHeight="true" outlineLevel="0" collapsed="false">
      <c r="A784" s="4" t="n">
        <v>43482</v>
      </c>
      <c r="B784" s="8" t="s">
        <v>42</v>
      </c>
      <c r="C784" s="14" t="s">
        <v>15</v>
      </c>
      <c r="D784" s="14" t="s">
        <v>43</v>
      </c>
      <c r="E784" s="14" t="s">
        <v>109</v>
      </c>
      <c r="F784" s="14" t="s">
        <v>2111</v>
      </c>
      <c r="G784" s="14" t="n">
        <f aca="false">+593939614902</f>
        <v>593939614902</v>
      </c>
      <c r="H784" s="14" t="s">
        <v>2112</v>
      </c>
      <c r="I784" s="14"/>
      <c r="J784" s="1"/>
      <c r="K784" s="1" t="s">
        <v>2113</v>
      </c>
      <c r="L784" s="1"/>
      <c r="M784" s="1"/>
      <c r="N784" s="1"/>
      <c r="O784" s="1"/>
      <c r="P784" s="6" t="s">
        <v>133</v>
      </c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21.75" hidden="false" customHeight="true" outlineLevel="0" collapsed="false">
      <c r="A785" s="4" t="n">
        <v>43482</v>
      </c>
      <c r="B785" s="18" t="s">
        <v>166</v>
      </c>
      <c r="C785" s="14" t="s">
        <v>15</v>
      </c>
      <c r="D785" s="14" t="s">
        <v>16</v>
      </c>
      <c r="E785" s="14" t="s">
        <v>17</v>
      </c>
      <c r="F785" s="14" t="s">
        <v>2114</v>
      </c>
      <c r="G785" s="14" t="n">
        <f aca="false">+593996349613</f>
        <v>593996349613</v>
      </c>
      <c r="H785" s="14" t="s">
        <v>2115</v>
      </c>
      <c r="I785" s="14"/>
      <c r="J785" s="1"/>
      <c r="K785" s="1" t="s">
        <v>2116</v>
      </c>
      <c r="L785" s="1"/>
      <c r="M785" s="1"/>
      <c r="N785" s="1"/>
      <c r="O785" s="1"/>
      <c r="P785" s="6" t="s">
        <v>133</v>
      </c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21.75" hidden="false" customHeight="true" outlineLevel="0" collapsed="false">
      <c r="A786" s="4" t="n">
        <v>43482</v>
      </c>
      <c r="B786" s="18" t="s">
        <v>166</v>
      </c>
      <c r="C786" s="14" t="s">
        <v>15</v>
      </c>
      <c r="D786" s="14" t="s">
        <v>16</v>
      </c>
      <c r="E786" s="14" t="s">
        <v>17</v>
      </c>
      <c r="F786" s="14" t="s">
        <v>2117</v>
      </c>
      <c r="G786" s="14" t="n">
        <f aca="false">+593991237907</f>
        <v>593991237907</v>
      </c>
      <c r="H786" s="14" t="s">
        <v>2118</v>
      </c>
      <c r="I786" s="14"/>
      <c r="J786" s="1"/>
      <c r="K786" s="1" t="s">
        <v>1766</v>
      </c>
      <c r="L786" s="1"/>
      <c r="M786" s="1"/>
      <c r="N786" s="1"/>
      <c r="O786" s="1"/>
      <c r="P786" s="6" t="s">
        <v>133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21.75" hidden="false" customHeight="true" outlineLevel="0" collapsed="false">
      <c r="A787" s="4" t="n">
        <v>43482</v>
      </c>
      <c r="B787" s="18" t="s">
        <v>166</v>
      </c>
      <c r="C787" s="14" t="s">
        <v>15</v>
      </c>
      <c r="D787" s="14" t="s">
        <v>16</v>
      </c>
      <c r="E787" s="14" t="s">
        <v>17</v>
      </c>
      <c r="F787" s="14" t="s">
        <v>2119</v>
      </c>
      <c r="G787" s="14" t="n">
        <f aca="false">+593993184951</f>
        <v>593993184951</v>
      </c>
      <c r="H787" s="14" t="s">
        <v>2120</v>
      </c>
      <c r="I787" s="14"/>
      <c r="J787" s="1"/>
      <c r="K787" s="1" t="s">
        <v>2121</v>
      </c>
      <c r="L787" s="1"/>
      <c r="M787" s="1"/>
      <c r="N787" s="1"/>
      <c r="O787" s="1"/>
      <c r="P787" s="6" t="s">
        <v>133</v>
      </c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21.75" hidden="false" customHeight="true" outlineLevel="0" collapsed="false">
      <c r="A788" s="4" t="n">
        <v>43482</v>
      </c>
      <c r="B788" s="18" t="s">
        <v>166</v>
      </c>
      <c r="C788" s="14" t="s">
        <v>15</v>
      </c>
      <c r="D788" s="14" t="s">
        <v>16</v>
      </c>
      <c r="E788" s="14" t="s">
        <v>17</v>
      </c>
      <c r="F788" s="14" t="s">
        <v>2122</v>
      </c>
      <c r="G788" s="14" t="n">
        <f aca="false">+593939638490</f>
        <v>593939638490</v>
      </c>
      <c r="H788" s="14" t="s">
        <v>2123</v>
      </c>
      <c r="I788" s="14"/>
      <c r="J788" s="1"/>
      <c r="K788" s="1" t="s">
        <v>2124</v>
      </c>
      <c r="L788" s="1"/>
      <c r="M788" s="1"/>
      <c r="N788" s="1"/>
      <c r="O788" s="1"/>
      <c r="P788" s="6" t="s">
        <v>133</v>
      </c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21.75" hidden="false" customHeight="true" outlineLevel="0" collapsed="false">
      <c r="A789" s="4" t="n">
        <v>43482</v>
      </c>
      <c r="B789" s="18" t="s">
        <v>166</v>
      </c>
      <c r="C789" s="14" t="s">
        <v>15</v>
      </c>
      <c r="D789" s="14" t="s">
        <v>16</v>
      </c>
      <c r="E789" s="14" t="s">
        <v>17</v>
      </c>
      <c r="F789" s="14" t="s">
        <v>2125</v>
      </c>
      <c r="G789" s="14" t="n">
        <f aca="false">+5930991104517</f>
        <v>5930991104517</v>
      </c>
      <c r="H789" s="14" t="s">
        <v>2126</v>
      </c>
      <c r="I789" s="14"/>
      <c r="J789" s="1"/>
      <c r="K789" s="1" t="s">
        <v>21</v>
      </c>
      <c r="L789" s="1"/>
      <c r="M789" s="1"/>
      <c r="N789" s="1"/>
      <c r="O789" s="1"/>
      <c r="P789" s="6" t="s">
        <v>21</v>
      </c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21.75" hidden="false" customHeight="true" outlineLevel="0" collapsed="false">
      <c r="A790" s="4" t="n">
        <v>43482</v>
      </c>
      <c r="B790" s="18" t="s">
        <v>166</v>
      </c>
      <c r="C790" s="14" t="s">
        <v>15</v>
      </c>
      <c r="D790" s="14" t="s">
        <v>16</v>
      </c>
      <c r="E790" s="14" t="s">
        <v>17</v>
      </c>
      <c r="F790" s="14" t="s">
        <v>2127</v>
      </c>
      <c r="G790" s="14" t="n">
        <f aca="false">+5930992646893</f>
        <v>5930992646893</v>
      </c>
      <c r="H790" s="14" t="s">
        <v>2128</v>
      </c>
      <c r="I790" s="14"/>
      <c r="J790" s="1"/>
      <c r="K790" s="1" t="s">
        <v>21</v>
      </c>
      <c r="L790" s="1"/>
      <c r="M790" s="1"/>
      <c r="N790" s="1"/>
      <c r="O790" s="1"/>
      <c r="P790" s="6" t="s">
        <v>21</v>
      </c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21.75" hidden="false" customHeight="true" outlineLevel="0" collapsed="false">
      <c r="A791" s="4" t="n">
        <v>43482</v>
      </c>
      <c r="B791" s="18" t="s">
        <v>166</v>
      </c>
      <c r="C791" s="14" t="s">
        <v>15</v>
      </c>
      <c r="D791" s="14" t="s">
        <v>16</v>
      </c>
      <c r="E791" s="14" t="s">
        <v>17</v>
      </c>
      <c r="F791" s="14" t="s">
        <v>2129</v>
      </c>
      <c r="G791" s="14" t="n">
        <f aca="false">+593968083600</f>
        <v>593968083600</v>
      </c>
      <c r="H791" s="14" t="s">
        <v>2130</v>
      </c>
      <c r="I791" s="14"/>
      <c r="J791" s="1"/>
      <c r="K791" s="1" t="s">
        <v>2131</v>
      </c>
      <c r="L791" s="1"/>
      <c r="M791" s="1"/>
      <c r="N791" s="1"/>
      <c r="O791" s="1"/>
      <c r="P791" s="6" t="s">
        <v>133</v>
      </c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21.75" hidden="false" customHeight="true" outlineLevel="0" collapsed="false">
      <c r="A792" s="4" t="n">
        <v>43482</v>
      </c>
      <c r="B792" s="18" t="s">
        <v>166</v>
      </c>
      <c r="C792" s="14" t="s">
        <v>15</v>
      </c>
      <c r="D792" s="14" t="s">
        <v>16</v>
      </c>
      <c r="E792" s="14" t="s">
        <v>17</v>
      </c>
      <c r="F792" s="14" t="s">
        <v>2132</v>
      </c>
      <c r="G792" s="14" t="n">
        <f aca="false">+593984434957</f>
        <v>593984434957</v>
      </c>
      <c r="H792" s="14" t="s">
        <v>2133</v>
      </c>
      <c r="I792" s="14"/>
      <c r="J792" s="1"/>
      <c r="K792" s="1" t="s">
        <v>21</v>
      </c>
      <c r="L792" s="1"/>
      <c r="M792" s="1"/>
      <c r="N792" s="1"/>
      <c r="O792" s="1"/>
      <c r="P792" s="6" t="s">
        <v>21</v>
      </c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21.75" hidden="false" customHeight="true" outlineLevel="0" collapsed="false">
      <c r="A793" s="4" t="n">
        <v>43482</v>
      </c>
      <c r="B793" s="18" t="s">
        <v>166</v>
      </c>
      <c r="C793" s="14" t="s">
        <v>15</v>
      </c>
      <c r="D793" s="14" t="s">
        <v>16</v>
      </c>
      <c r="E793" s="14" t="s">
        <v>17</v>
      </c>
      <c r="F793" s="14" t="s">
        <v>2134</v>
      </c>
      <c r="G793" s="14" t="n">
        <f aca="false">+593985100501</f>
        <v>593985100501</v>
      </c>
      <c r="H793" s="14" t="s">
        <v>2135</v>
      </c>
      <c r="I793" s="14"/>
      <c r="J793" s="1"/>
      <c r="K793" s="1" t="s">
        <v>21</v>
      </c>
      <c r="L793" s="1"/>
      <c r="M793" s="1"/>
      <c r="N793" s="1"/>
      <c r="O793" s="1"/>
      <c r="P793" s="6" t="s">
        <v>21</v>
      </c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21.75" hidden="false" customHeight="true" outlineLevel="0" collapsed="false">
      <c r="A794" s="4" t="n">
        <v>43482</v>
      </c>
      <c r="B794" s="18" t="s">
        <v>166</v>
      </c>
      <c r="C794" s="14" t="s">
        <v>15</v>
      </c>
      <c r="D794" s="14" t="s">
        <v>16</v>
      </c>
      <c r="E794" s="14" t="s">
        <v>17</v>
      </c>
      <c r="F794" s="14" t="s">
        <v>2136</v>
      </c>
      <c r="G794" s="14" t="n">
        <f aca="false">+593967879800</f>
        <v>593967879800</v>
      </c>
      <c r="H794" s="14" t="s">
        <v>2137</v>
      </c>
      <c r="I794" s="14"/>
      <c r="J794" s="1"/>
      <c r="K794" s="1" t="s">
        <v>21</v>
      </c>
      <c r="L794" s="1"/>
      <c r="M794" s="1"/>
      <c r="N794" s="1"/>
      <c r="O794" s="1"/>
      <c r="P794" s="6" t="s">
        <v>21</v>
      </c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21.75" hidden="false" customHeight="true" outlineLevel="0" collapsed="false">
      <c r="A795" s="4" t="n">
        <v>43482</v>
      </c>
      <c r="B795" s="18" t="s">
        <v>323</v>
      </c>
      <c r="C795" s="14" t="s">
        <v>15</v>
      </c>
      <c r="D795" s="14" t="s">
        <v>43</v>
      </c>
      <c r="E795" s="14" t="s">
        <v>109</v>
      </c>
      <c r="F795" s="19" t="s">
        <v>2138</v>
      </c>
      <c r="G795" s="20" t="n">
        <v>995625663</v>
      </c>
      <c r="H795" s="19" t="s">
        <v>2139</v>
      </c>
      <c r="I795" s="19"/>
      <c r="J795" s="1"/>
      <c r="K795" s="1" t="s">
        <v>21</v>
      </c>
      <c r="L795" s="1"/>
      <c r="M795" s="1"/>
      <c r="N795" s="1"/>
      <c r="O795" s="1"/>
      <c r="P795" s="6" t="s">
        <v>21</v>
      </c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21.75" hidden="false" customHeight="true" outlineLevel="0" collapsed="false">
      <c r="A796" s="4" t="n">
        <v>43482</v>
      </c>
      <c r="B796" s="14" t="s">
        <v>1106</v>
      </c>
      <c r="C796" s="14" t="s">
        <v>15</v>
      </c>
      <c r="D796" s="14" t="s">
        <v>43</v>
      </c>
      <c r="E796" s="14" t="s">
        <v>109</v>
      </c>
      <c r="F796" s="14" t="s">
        <v>2140</v>
      </c>
      <c r="G796" s="14" t="n">
        <f aca="false">+593967803717</f>
        <v>593967803717</v>
      </c>
      <c r="H796" s="14" t="s">
        <v>2141</v>
      </c>
      <c r="I796" s="14"/>
      <c r="J796" s="1"/>
      <c r="K796" s="1" t="s">
        <v>21</v>
      </c>
      <c r="L796" s="1"/>
      <c r="M796" s="1"/>
      <c r="N796" s="1"/>
      <c r="O796" s="1"/>
      <c r="P796" s="6" t="s">
        <v>21</v>
      </c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21.75" hidden="false" customHeight="true" outlineLevel="0" collapsed="false">
      <c r="A797" s="4" t="n">
        <v>43482</v>
      </c>
      <c r="B797" s="18" t="s">
        <v>1106</v>
      </c>
      <c r="C797" s="14" t="s">
        <v>15</v>
      </c>
      <c r="D797" s="14" t="s">
        <v>43</v>
      </c>
      <c r="E797" s="14" t="s">
        <v>109</v>
      </c>
      <c r="F797" s="19" t="s">
        <v>2142</v>
      </c>
      <c r="G797" s="18" t="n">
        <v>985301812</v>
      </c>
      <c r="H797" s="18" t="s">
        <v>2143</v>
      </c>
      <c r="I797" s="18"/>
      <c r="J797" s="1"/>
      <c r="K797" s="1" t="s">
        <v>21</v>
      </c>
      <c r="L797" s="1"/>
      <c r="M797" s="1"/>
      <c r="N797" s="1"/>
      <c r="O797" s="1"/>
      <c r="P797" s="6" t="s">
        <v>21</v>
      </c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21.75" hidden="false" customHeight="true" outlineLevel="0" collapsed="false">
      <c r="A798" s="4" t="n">
        <v>43482</v>
      </c>
      <c r="B798" s="14" t="s">
        <v>1106</v>
      </c>
      <c r="C798" s="14" t="s">
        <v>15</v>
      </c>
      <c r="D798" s="14" t="s">
        <v>43</v>
      </c>
      <c r="E798" s="14" t="s">
        <v>109</v>
      </c>
      <c r="F798" s="14" t="s">
        <v>2144</v>
      </c>
      <c r="G798" s="14" t="n">
        <f aca="false">+5930979861676</f>
        <v>5930979861676</v>
      </c>
      <c r="H798" s="14" t="s">
        <v>2145</v>
      </c>
      <c r="I798" s="14"/>
      <c r="J798" s="1"/>
      <c r="K798" s="1" t="s">
        <v>2146</v>
      </c>
      <c r="L798" s="1"/>
      <c r="M798" s="1"/>
      <c r="N798" s="1"/>
      <c r="O798" s="1"/>
      <c r="P798" s="6" t="s">
        <v>751</v>
      </c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21.75" hidden="false" customHeight="true" outlineLevel="0" collapsed="false">
      <c r="A799" s="4" t="n">
        <v>43482</v>
      </c>
      <c r="B799" s="14" t="s">
        <v>1106</v>
      </c>
      <c r="C799" s="14" t="s">
        <v>15</v>
      </c>
      <c r="D799" s="14" t="s">
        <v>43</v>
      </c>
      <c r="E799" s="14" t="s">
        <v>109</v>
      </c>
      <c r="F799" s="14" t="s">
        <v>2147</v>
      </c>
      <c r="G799" s="14" t="n">
        <f aca="false">+593994110060</f>
        <v>593994110060</v>
      </c>
      <c r="H799" s="14" t="s">
        <v>2148</v>
      </c>
      <c r="I799" s="14"/>
      <c r="J799" s="1"/>
      <c r="K799" s="1" t="s">
        <v>21</v>
      </c>
      <c r="L799" s="1"/>
      <c r="M799" s="1"/>
      <c r="N799" s="1"/>
      <c r="O799" s="1"/>
      <c r="P799" s="6" t="s">
        <v>21</v>
      </c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21.75" hidden="false" customHeight="true" outlineLevel="0" collapsed="false">
      <c r="A800" s="4" t="n">
        <v>43482</v>
      </c>
      <c r="B800" s="14" t="s">
        <v>1831</v>
      </c>
      <c r="C800" s="14" t="s">
        <v>15</v>
      </c>
      <c r="D800" s="14" t="s">
        <v>43</v>
      </c>
      <c r="E800" s="14" t="s">
        <v>109</v>
      </c>
      <c r="F800" s="14" t="s">
        <v>2149</v>
      </c>
      <c r="G800" s="14" t="n">
        <f aca="false">+593983910016</f>
        <v>593983910016</v>
      </c>
      <c r="H800" s="14" t="s">
        <v>2150</v>
      </c>
      <c r="I800" s="14"/>
      <c r="J800" s="1"/>
      <c r="K800" s="1" t="s">
        <v>2151</v>
      </c>
      <c r="L800" s="1"/>
      <c r="M800" s="1"/>
      <c r="N800" s="1"/>
      <c r="O800" s="1"/>
      <c r="P800" s="6" t="s">
        <v>133</v>
      </c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21.75" hidden="false" customHeight="true" outlineLevel="0" collapsed="false">
      <c r="A801" s="4" t="n">
        <v>43482</v>
      </c>
      <c r="B801" s="18" t="s">
        <v>1478</v>
      </c>
      <c r="C801" s="14" t="s">
        <v>15</v>
      </c>
      <c r="D801" s="14" t="s">
        <v>43</v>
      </c>
      <c r="E801" s="14" t="s">
        <v>109</v>
      </c>
      <c r="F801" s="19" t="s">
        <v>2152</v>
      </c>
      <c r="G801" s="18" t="n">
        <v>988325085</v>
      </c>
      <c r="H801" s="18" t="s">
        <v>2153</v>
      </c>
      <c r="I801" s="18"/>
      <c r="J801" s="1"/>
      <c r="K801" s="1" t="s">
        <v>2154</v>
      </c>
      <c r="L801" s="1"/>
      <c r="M801" s="1"/>
      <c r="N801" s="1"/>
      <c r="O801" s="1"/>
      <c r="P801" s="6" t="s">
        <v>751</v>
      </c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21.75" hidden="false" customHeight="true" outlineLevel="0" collapsed="false">
      <c r="A802" s="4" t="n">
        <v>43482</v>
      </c>
      <c r="B802" s="14" t="s">
        <v>48</v>
      </c>
      <c r="C802" s="14" t="s">
        <v>15</v>
      </c>
      <c r="D802" s="14" t="s">
        <v>43</v>
      </c>
      <c r="E802" s="14" t="s">
        <v>883</v>
      </c>
      <c r="F802" s="14" t="s">
        <v>2155</v>
      </c>
      <c r="G802" s="14" t="n">
        <f aca="false">+593998558276</f>
        <v>593998558276</v>
      </c>
      <c r="H802" s="14" t="s">
        <v>2156</v>
      </c>
      <c r="I802" s="14"/>
      <c r="J802" s="1"/>
      <c r="K802" s="1" t="s">
        <v>21</v>
      </c>
      <c r="L802" s="1"/>
      <c r="M802" s="1"/>
      <c r="N802" s="1"/>
      <c r="O802" s="1"/>
      <c r="P802" s="6" t="s">
        <v>21</v>
      </c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21.75" hidden="false" customHeight="true" outlineLevel="0" collapsed="false">
      <c r="A803" s="4" t="n">
        <v>43482</v>
      </c>
      <c r="B803" s="18" t="s">
        <v>48</v>
      </c>
      <c r="C803" s="14" t="s">
        <v>15</v>
      </c>
      <c r="D803" s="14" t="s">
        <v>43</v>
      </c>
      <c r="E803" s="14" t="s">
        <v>44</v>
      </c>
      <c r="F803" s="14" t="s">
        <v>2157</v>
      </c>
      <c r="G803" s="14" t="n">
        <f aca="false">+593045016444</f>
        <v>593045016444</v>
      </c>
      <c r="H803" s="14" t="s">
        <v>2158</v>
      </c>
      <c r="I803" s="14"/>
      <c r="J803" s="1"/>
      <c r="K803" s="1" t="s">
        <v>21</v>
      </c>
      <c r="L803" s="1"/>
      <c r="M803" s="1"/>
      <c r="N803" s="1"/>
      <c r="O803" s="1"/>
      <c r="P803" s="6" t="s">
        <v>21</v>
      </c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21.75" hidden="false" customHeight="true" outlineLevel="0" collapsed="false">
      <c r="A804" s="4" t="n">
        <v>43482</v>
      </c>
      <c r="B804" s="18" t="s">
        <v>48</v>
      </c>
      <c r="C804" s="14" t="s">
        <v>15</v>
      </c>
      <c r="D804" s="14" t="s">
        <v>43</v>
      </c>
      <c r="E804" s="14" t="s">
        <v>44</v>
      </c>
      <c r="F804" s="14" t="s">
        <v>2159</v>
      </c>
      <c r="G804" s="14" t="n">
        <f aca="false">+593990652945</f>
        <v>593990652945</v>
      </c>
      <c r="H804" s="14" t="s">
        <v>2160</v>
      </c>
      <c r="I804" s="14"/>
      <c r="J804" s="1"/>
      <c r="K804" s="1" t="s">
        <v>441</v>
      </c>
      <c r="L804" s="1"/>
      <c r="M804" s="1"/>
      <c r="N804" s="1"/>
      <c r="O804" s="1"/>
      <c r="P804" s="6" t="s">
        <v>133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21.75" hidden="false" customHeight="true" outlineLevel="0" collapsed="false">
      <c r="A805" s="4" t="n">
        <v>43482</v>
      </c>
      <c r="B805" s="18" t="s">
        <v>48</v>
      </c>
      <c r="C805" s="14" t="s">
        <v>15</v>
      </c>
      <c r="D805" s="14" t="s">
        <v>43</v>
      </c>
      <c r="E805" s="14" t="s">
        <v>44</v>
      </c>
      <c r="F805" s="14" t="s">
        <v>2161</v>
      </c>
      <c r="G805" s="14" t="n">
        <f aca="false">+593980990096</f>
        <v>593980990096</v>
      </c>
      <c r="H805" s="14" t="s">
        <v>2162</v>
      </c>
      <c r="I805" s="14"/>
      <c r="J805" s="1"/>
      <c r="K805" s="1" t="s">
        <v>1766</v>
      </c>
      <c r="L805" s="1"/>
      <c r="M805" s="1"/>
      <c r="N805" s="1"/>
      <c r="O805" s="1"/>
      <c r="P805" s="6" t="s">
        <v>133</v>
      </c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21.75" hidden="false" customHeight="true" outlineLevel="0" collapsed="false">
      <c r="A806" s="4" t="n">
        <v>43482</v>
      </c>
      <c r="B806" s="18" t="s">
        <v>48</v>
      </c>
      <c r="C806" s="14" t="s">
        <v>15</v>
      </c>
      <c r="D806" s="14" t="s">
        <v>43</v>
      </c>
      <c r="E806" s="14" t="s">
        <v>44</v>
      </c>
      <c r="F806" s="14" t="s">
        <v>2163</v>
      </c>
      <c r="G806" s="14" t="n">
        <f aca="false">+593982564086</f>
        <v>593982564086</v>
      </c>
      <c r="H806" s="14" t="s">
        <v>2164</v>
      </c>
      <c r="I806" s="14"/>
      <c r="J806" s="1"/>
      <c r="K806" s="1" t="s">
        <v>21</v>
      </c>
      <c r="L806" s="1"/>
      <c r="M806" s="1"/>
      <c r="N806" s="1"/>
      <c r="O806" s="1"/>
      <c r="P806" s="6" t="s">
        <v>21</v>
      </c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21.75" hidden="false" customHeight="true" outlineLevel="0" collapsed="false">
      <c r="A807" s="4" t="n">
        <v>43482</v>
      </c>
      <c r="B807" s="18" t="s">
        <v>48</v>
      </c>
      <c r="C807" s="14" t="s">
        <v>15</v>
      </c>
      <c r="D807" s="14" t="s">
        <v>43</v>
      </c>
      <c r="E807" s="14" t="s">
        <v>44</v>
      </c>
      <c r="F807" s="14" t="s">
        <v>2165</v>
      </c>
      <c r="G807" s="14" t="n">
        <f aca="false">+593994823728</f>
        <v>593994823728</v>
      </c>
      <c r="H807" s="14" t="s">
        <v>2166</v>
      </c>
      <c r="I807" s="14"/>
      <c r="J807" s="1"/>
      <c r="K807" s="1" t="s">
        <v>21</v>
      </c>
      <c r="L807" s="1"/>
      <c r="M807" s="1"/>
      <c r="N807" s="1"/>
      <c r="O807" s="1"/>
      <c r="P807" s="6" t="s">
        <v>21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21.75" hidden="false" customHeight="true" outlineLevel="0" collapsed="false">
      <c r="A808" s="4" t="n">
        <v>43482</v>
      </c>
      <c r="B808" s="18" t="s">
        <v>48</v>
      </c>
      <c r="C808" s="14" t="s">
        <v>15</v>
      </c>
      <c r="D808" s="14" t="s">
        <v>43</v>
      </c>
      <c r="E808" s="14" t="s">
        <v>44</v>
      </c>
      <c r="F808" s="14" t="s">
        <v>2167</v>
      </c>
      <c r="G808" s="14" t="n">
        <f aca="false">+593985296454</f>
        <v>593985296454</v>
      </c>
      <c r="H808" s="14" t="s">
        <v>2168</v>
      </c>
      <c r="I808" s="14"/>
      <c r="J808" s="1"/>
      <c r="K808" s="1" t="s">
        <v>1065</v>
      </c>
      <c r="L808" s="1"/>
      <c r="M808" s="1"/>
      <c r="N808" s="1"/>
      <c r="O808" s="1"/>
      <c r="P808" s="6" t="s">
        <v>133</v>
      </c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21.75" hidden="false" customHeight="true" outlineLevel="0" collapsed="false">
      <c r="A809" s="4" t="n">
        <v>43482</v>
      </c>
      <c r="B809" s="18" t="s">
        <v>48</v>
      </c>
      <c r="C809" s="14" t="s">
        <v>15</v>
      </c>
      <c r="D809" s="14" t="s">
        <v>43</v>
      </c>
      <c r="E809" s="14" t="s">
        <v>44</v>
      </c>
      <c r="F809" s="14" t="s">
        <v>2169</v>
      </c>
      <c r="G809" s="14" t="n">
        <f aca="false">+593980123631</f>
        <v>593980123631</v>
      </c>
      <c r="H809" s="14" t="s">
        <v>2170</v>
      </c>
      <c r="I809" s="14"/>
      <c r="J809" s="1"/>
      <c r="K809" s="1" t="s">
        <v>1757</v>
      </c>
      <c r="L809" s="1"/>
      <c r="M809" s="1"/>
      <c r="N809" s="1"/>
      <c r="O809" s="1"/>
      <c r="P809" s="6" t="s">
        <v>31</v>
      </c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21.75" hidden="false" customHeight="true" outlineLevel="0" collapsed="false">
      <c r="A810" s="4" t="n">
        <v>43482</v>
      </c>
      <c r="B810" s="18" t="s">
        <v>48</v>
      </c>
      <c r="C810" s="14" t="s">
        <v>15</v>
      </c>
      <c r="D810" s="14" t="s">
        <v>43</v>
      </c>
      <c r="E810" s="14" t="s">
        <v>44</v>
      </c>
      <c r="F810" s="14" t="s">
        <v>2171</v>
      </c>
      <c r="G810" s="14" t="n">
        <f aca="false">+593997962754</f>
        <v>593997962754</v>
      </c>
      <c r="H810" s="14" t="s">
        <v>2172</v>
      </c>
      <c r="I810" s="14"/>
      <c r="J810" s="1"/>
      <c r="K810" s="1" t="s">
        <v>21</v>
      </c>
      <c r="L810" s="1"/>
      <c r="M810" s="1"/>
      <c r="N810" s="1"/>
      <c r="O810" s="1"/>
      <c r="P810" s="6" t="s">
        <v>21</v>
      </c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21.75" hidden="false" customHeight="true" outlineLevel="0" collapsed="false">
      <c r="A811" s="4" t="n">
        <v>43482</v>
      </c>
      <c r="B811" s="18" t="s">
        <v>48</v>
      </c>
      <c r="C811" s="14" t="s">
        <v>15</v>
      </c>
      <c r="D811" s="14" t="s">
        <v>43</v>
      </c>
      <c r="E811" s="14" t="s">
        <v>44</v>
      </c>
      <c r="F811" s="14" t="s">
        <v>2173</v>
      </c>
      <c r="G811" s="14" t="n">
        <f aca="false">+5930988544281</f>
        <v>5930988544281</v>
      </c>
      <c r="H811" s="14" t="s">
        <v>2174</v>
      </c>
      <c r="I811" s="14"/>
      <c r="J811" s="1"/>
      <c r="K811" s="1" t="s">
        <v>21</v>
      </c>
      <c r="L811" s="1"/>
      <c r="M811" s="1"/>
      <c r="N811" s="1"/>
      <c r="O811" s="1"/>
      <c r="P811" s="6" t="s">
        <v>21</v>
      </c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21.75" hidden="false" customHeight="true" outlineLevel="0" collapsed="false">
      <c r="A812" s="4" t="n">
        <v>43482</v>
      </c>
      <c r="B812" s="14" t="s">
        <v>48</v>
      </c>
      <c r="C812" s="14" t="s">
        <v>15</v>
      </c>
      <c r="D812" s="14" t="s">
        <v>43</v>
      </c>
      <c r="E812" s="14" t="s">
        <v>44</v>
      </c>
      <c r="F812" s="19" t="s">
        <v>2175</v>
      </c>
      <c r="G812" s="18" t="n">
        <v>995582928</v>
      </c>
      <c r="H812" s="18" t="s">
        <v>2176</v>
      </c>
      <c r="I812" s="18"/>
      <c r="J812" s="1"/>
      <c r="K812" s="1" t="s">
        <v>2177</v>
      </c>
      <c r="L812" s="1"/>
      <c r="M812" s="1"/>
      <c r="N812" s="1"/>
      <c r="O812" s="1"/>
      <c r="P812" s="6" t="s">
        <v>133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21.75" hidden="false" customHeight="true" outlineLevel="0" collapsed="false">
      <c r="A813" s="4" t="n">
        <v>43482</v>
      </c>
      <c r="B813" s="14" t="s">
        <v>48</v>
      </c>
      <c r="C813" s="14" t="s">
        <v>26</v>
      </c>
      <c r="D813" s="14" t="s">
        <v>43</v>
      </c>
      <c r="E813" s="14" t="s">
        <v>44</v>
      </c>
      <c r="F813" s="14" t="s">
        <v>2178</v>
      </c>
      <c r="G813" s="14" t="n">
        <f aca="false">+593968670319</f>
        <v>593968670319</v>
      </c>
      <c r="H813" s="14" t="s">
        <v>2179</v>
      </c>
      <c r="I813" s="14"/>
      <c r="J813" s="1"/>
      <c r="K813" s="1" t="s">
        <v>21</v>
      </c>
      <c r="L813" s="1"/>
      <c r="M813" s="1"/>
      <c r="N813" s="1"/>
      <c r="O813" s="1"/>
      <c r="P813" s="6" t="s">
        <v>21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21.75" hidden="false" customHeight="true" outlineLevel="0" collapsed="false">
      <c r="A814" s="4" t="n">
        <v>43482</v>
      </c>
      <c r="B814" s="14" t="s">
        <v>48</v>
      </c>
      <c r="C814" s="14" t="s">
        <v>26</v>
      </c>
      <c r="D814" s="14" t="s">
        <v>43</v>
      </c>
      <c r="E814" s="14" t="s">
        <v>44</v>
      </c>
      <c r="F814" s="14" t="s">
        <v>2180</v>
      </c>
      <c r="G814" s="14" t="n">
        <f aca="false">+5930968218627</f>
        <v>5930968218627</v>
      </c>
      <c r="H814" s="14" t="s">
        <v>2181</v>
      </c>
      <c r="I814" s="14"/>
      <c r="J814" s="1"/>
      <c r="K814" s="1" t="s">
        <v>2182</v>
      </c>
      <c r="L814" s="1"/>
      <c r="M814" s="1"/>
      <c r="N814" s="1"/>
      <c r="O814" s="1"/>
      <c r="P814" s="6" t="s">
        <v>133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21.75" hidden="false" customHeight="true" outlineLevel="0" collapsed="false">
      <c r="A815" s="4" t="n">
        <v>43482</v>
      </c>
      <c r="B815" s="14" t="s">
        <v>48</v>
      </c>
      <c r="C815" s="14" t="s">
        <v>15</v>
      </c>
      <c r="D815" s="14" t="s">
        <v>43</v>
      </c>
      <c r="E815" s="14" t="s">
        <v>44</v>
      </c>
      <c r="F815" s="14" t="s">
        <v>2183</v>
      </c>
      <c r="G815" s="14" t="n">
        <f aca="false">+593995158103</f>
        <v>593995158103</v>
      </c>
      <c r="H815" s="14" t="s">
        <v>2184</v>
      </c>
      <c r="I815" s="14"/>
      <c r="J815" s="1"/>
      <c r="K815" s="1" t="s">
        <v>21</v>
      </c>
      <c r="L815" s="1"/>
      <c r="M815" s="1"/>
      <c r="N815" s="1"/>
      <c r="O815" s="1"/>
      <c r="P815" s="6" t="s">
        <v>21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21.75" hidden="false" customHeight="true" outlineLevel="0" collapsed="false">
      <c r="A816" s="4" t="n">
        <v>43482</v>
      </c>
      <c r="B816" s="14" t="s">
        <v>48</v>
      </c>
      <c r="C816" s="14" t="s">
        <v>26</v>
      </c>
      <c r="D816" s="14" t="s">
        <v>43</v>
      </c>
      <c r="E816" s="14" t="s">
        <v>44</v>
      </c>
      <c r="F816" s="14" t="s">
        <v>2185</v>
      </c>
      <c r="G816" s="14" t="n">
        <f aca="false">+593995729607</f>
        <v>593995729607</v>
      </c>
      <c r="H816" s="14" t="s">
        <v>2186</v>
      </c>
      <c r="I816" s="14"/>
      <c r="J816" s="1"/>
      <c r="K816" s="1" t="s">
        <v>21</v>
      </c>
      <c r="L816" s="1"/>
      <c r="M816" s="1"/>
      <c r="N816" s="1"/>
      <c r="O816" s="1"/>
      <c r="P816" s="6" t="s">
        <v>21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21.75" hidden="false" customHeight="true" outlineLevel="0" collapsed="false">
      <c r="A817" s="4" t="n">
        <v>43482</v>
      </c>
      <c r="B817" s="14" t="s">
        <v>48</v>
      </c>
      <c r="C817" s="14" t="s">
        <v>15</v>
      </c>
      <c r="D817" s="14" t="s">
        <v>43</v>
      </c>
      <c r="E817" s="14" t="s">
        <v>44</v>
      </c>
      <c r="F817" s="14" t="s">
        <v>2187</v>
      </c>
      <c r="G817" s="14" t="n">
        <f aca="false">+5930999699927</f>
        <v>5930999699927</v>
      </c>
      <c r="H817" s="14" t="s">
        <v>2188</v>
      </c>
      <c r="I817" s="14"/>
      <c r="J817" s="1"/>
      <c r="K817" s="1" t="s">
        <v>2189</v>
      </c>
      <c r="L817" s="1"/>
      <c r="M817" s="1"/>
      <c r="N817" s="1"/>
      <c r="O817" s="1"/>
      <c r="P817" s="6" t="s">
        <v>31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21.75" hidden="false" customHeight="true" outlineLevel="0" collapsed="false">
      <c r="A818" s="4" t="n">
        <v>43482</v>
      </c>
      <c r="B818" s="14" t="s">
        <v>48</v>
      </c>
      <c r="C818" s="14" t="s">
        <v>15</v>
      </c>
      <c r="D818" s="14" t="s">
        <v>43</v>
      </c>
      <c r="E818" s="14" t="s">
        <v>44</v>
      </c>
      <c r="F818" s="14" t="s">
        <v>2190</v>
      </c>
      <c r="G818" s="14" t="n">
        <f aca="false">+593985675427</f>
        <v>593985675427</v>
      </c>
      <c r="H818" s="14" t="s">
        <v>2191</v>
      </c>
      <c r="I818" s="14"/>
      <c r="J818" s="1"/>
      <c r="K818" s="1" t="s">
        <v>2192</v>
      </c>
      <c r="L818" s="1"/>
      <c r="M818" s="1"/>
      <c r="N818" s="1"/>
      <c r="O818" s="1"/>
      <c r="P818" s="6" t="s">
        <v>751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21.75" hidden="false" customHeight="true" outlineLevel="0" collapsed="false">
      <c r="A819" s="4" t="n">
        <v>43482</v>
      </c>
      <c r="B819" s="14" t="s">
        <v>48</v>
      </c>
      <c r="C819" s="14" t="s">
        <v>26</v>
      </c>
      <c r="D819" s="14" t="s">
        <v>43</v>
      </c>
      <c r="E819" s="14" t="s">
        <v>109</v>
      </c>
      <c r="F819" s="14" t="s">
        <v>2193</v>
      </c>
      <c r="G819" s="14" t="n">
        <f aca="false">+593967992707</f>
        <v>593967992707</v>
      </c>
      <c r="H819" s="14" t="s">
        <v>2194</v>
      </c>
      <c r="I819" s="14"/>
      <c r="J819" s="1"/>
      <c r="K819" s="1" t="s">
        <v>21</v>
      </c>
      <c r="L819" s="1"/>
      <c r="M819" s="1"/>
      <c r="N819" s="1"/>
      <c r="O819" s="1"/>
      <c r="P819" s="6" t="s">
        <v>21</v>
      </c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21.75" hidden="false" customHeight="true" outlineLevel="0" collapsed="false">
      <c r="A820" s="4" t="n">
        <v>43482</v>
      </c>
      <c r="B820" s="14" t="s">
        <v>48</v>
      </c>
      <c r="C820" s="14" t="s">
        <v>15</v>
      </c>
      <c r="D820" s="14" t="s">
        <v>43</v>
      </c>
      <c r="E820" s="14" t="s">
        <v>109</v>
      </c>
      <c r="F820" s="14" t="s">
        <v>2195</v>
      </c>
      <c r="G820" s="14" t="n">
        <f aca="false">+593996381184</f>
        <v>593996381184</v>
      </c>
      <c r="H820" s="14" t="s">
        <v>2196</v>
      </c>
      <c r="I820" s="14"/>
      <c r="J820" s="1"/>
      <c r="K820" s="1" t="s">
        <v>2197</v>
      </c>
      <c r="L820" s="1"/>
      <c r="M820" s="1"/>
      <c r="N820" s="1"/>
      <c r="O820" s="1"/>
      <c r="P820" s="6" t="s">
        <v>133</v>
      </c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21.75" hidden="false" customHeight="true" outlineLevel="0" collapsed="false">
      <c r="A821" s="4" t="n">
        <v>43482</v>
      </c>
      <c r="B821" s="14" t="s">
        <v>48</v>
      </c>
      <c r="C821" s="14" t="s">
        <v>15</v>
      </c>
      <c r="D821" s="14" t="s">
        <v>43</v>
      </c>
      <c r="E821" s="14" t="s">
        <v>109</v>
      </c>
      <c r="F821" s="14" t="s">
        <v>2198</v>
      </c>
      <c r="G821" s="14" t="n">
        <f aca="false">+5930992446217</f>
        <v>5930992446217</v>
      </c>
      <c r="H821" s="14" t="s">
        <v>2199</v>
      </c>
      <c r="I821" s="14"/>
      <c r="J821" s="1"/>
      <c r="K821" s="1" t="s">
        <v>2200</v>
      </c>
      <c r="L821" s="1"/>
      <c r="M821" s="1"/>
      <c r="N821" s="1"/>
      <c r="O821" s="1"/>
      <c r="P821" s="6" t="s">
        <v>751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21.75" hidden="false" customHeight="true" outlineLevel="0" collapsed="false">
      <c r="A822" s="4" t="n">
        <v>43482</v>
      </c>
      <c r="B822" s="14" t="s">
        <v>48</v>
      </c>
      <c r="C822" s="14" t="s">
        <v>15</v>
      </c>
      <c r="D822" s="14" t="s">
        <v>43</v>
      </c>
      <c r="E822" s="14" t="s">
        <v>109</v>
      </c>
      <c r="F822" s="14" t="s">
        <v>2201</v>
      </c>
      <c r="G822" s="14" t="n">
        <f aca="false">+593998270690</f>
        <v>593998270690</v>
      </c>
      <c r="H822" s="14" t="s">
        <v>2202</v>
      </c>
      <c r="I822" s="14"/>
      <c r="J822" s="1"/>
      <c r="K822" s="1" t="s">
        <v>2203</v>
      </c>
      <c r="L822" s="1"/>
      <c r="M822" s="1"/>
      <c r="N822" s="1"/>
      <c r="O822" s="1"/>
      <c r="P822" s="6" t="s">
        <v>31</v>
      </c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21.75" hidden="false" customHeight="true" outlineLevel="0" collapsed="false">
      <c r="A823" s="4" t="n">
        <v>43482</v>
      </c>
      <c r="B823" s="14" t="s">
        <v>48</v>
      </c>
      <c r="C823" s="14" t="s">
        <v>15</v>
      </c>
      <c r="D823" s="14" t="s">
        <v>43</v>
      </c>
      <c r="E823" s="14" t="s">
        <v>109</v>
      </c>
      <c r="F823" s="14" t="s">
        <v>2204</v>
      </c>
      <c r="G823" s="14" t="n">
        <f aca="false">+593969414588</f>
        <v>593969414588</v>
      </c>
      <c r="H823" s="14" t="s">
        <v>2205</v>
      </c>
      <c r="I823" s="14"/>
      <c r="J823" s="1"/>
      <c r="K823" s="1" t="s">
        <v>21</v>
      </c>
      <c r="L823" s="1"/>
      <c r="M823" s="1"/>
      <c r="N823" s="1"/>
      <c r="O823" s="1"/>
      <c r="P823" s="6" t="s">
        <v>21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21.75" hidden="false" customHeight="true" outlineLevel="0" collapsed="false">
      <c r="A824" s="4" t="n">
        <v>43482</v>
      </c>
      <c r="B824" s="14" t="s">
        <v>48</v>
      </c>
      <c r="C824" s="14" t="s">
        <v>15</v>
      </c>
      <c r="D824" s="14" t="s">
        <v>43</v>
      </c>
      <c r="E824" s="14" t="s">
        <v>109</v>
      </c>
      <c r="F824" s="14" t="s">
        <v>2206</v>
      </c>
      <c r="G824" s="14" t="n">
        <f aca="false">+593999559771</f>
        <v>593999559771</v>
      </c>
      <c r="H824" s="14" t="s">
        <v>2207</v>
      </c>
      <c r="I824" s="14"/>
      <c r="J824" s="1"/>
      <c r="K824" s="1" t="s">
        <v>21</v>
      </c>
      <c r="L824" s="1"/>
      <c r="M824" s="1"/>
      <c r="N824" s="1"/>
      <c r="O824" s="1"/>
      <c r="P824" s="6" t="s">
        <v>21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21.75" hidden="false" customHeight="true" outlineLevel="0" collapsed="false">
      <c r="A825" s="4" t="n">
        <v>43482</v>
      </c>
      <c r="B825" s="14" t="s">
        <v>48</v>
      </c>
      <c r="C825" s="14" t="s">
        <v>15</v>
      </c>
      <c r="D825" s="14" t="s">
        <v>43</v>
      </c>
      <c r="E825" s="14" t="s">
        <v>109</v>
      </c>
      <c r="F825" s="14" t="s">
        <v>2208</v>
      </c>
      <c r="G825" s="14" t="n">
        <f aca="false">+593980103554</f>
        <v>593980103554</v>
      </c>
      <c r="H825" s="14" t="s">
        <v>2209</v>
      </c>
      <c r="I825" s="14"/>
      <c r="J825" s="1"/>
      <c r="K825" s="1" t="s">
        <v>21</v>
      </c>
      <c r="L825" s="1"/>
      <c r="M825" s="1"/>
      <c r="N825" s="1"/>
      <c r="O825" s="1"/>
      <c r="P825" s="6" t="s">
        <v>21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21.75" hidden="false" customHeight="true" outlineLevel="0" collapsed="false">
      <c r="A826" s="4" t="n">
        <v>43482</v>
      </c>
      <c r="B826" s="14" t="s">
        <v>48</v>
      </c>
      <c r="C826" s="14" t="s">
        <v>15</v>
      </c>
      <c r="D826" s="14" t="s">
        <v>43</v>
      </c>
      <c r="E826" s="14" t="s">
        <v>109</v>
      </c>
      <c r="F826" s="18" t="s">
        <v>2210</v>
      </c>
      <c r="G826" s="18" t="n">
        <v>985712287</v>
      </c>
      <c r="H826" s="18" t="s">
        <v>2211</v>
      </c>
      <c r="I826" s="18"/>
      <c r="J826" s="1"/>
      <c r="K826" s="1" t="s">
        <v>21</v>
      </c>
      <c r="L826" s="1"/>
      <c r="M826" s="1"/>
      <c r="N826" s="1"/>
      <c r="O826" s="1"/>
      <c r="P826" s="6" t="s">
        <v>21</v>
      </c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21.75" hidden="false" customHeight="true" outlineLevel="0" collapsed="false">
      <c r="A827" s="4" t="n">
        <v>43482</v>
      </c>
      <c r="B827" s="14" t="s">
        <v>48</v>
      </c>
      <c r="C827" s="14" t="s">
        <v>15</v>
      </c>
      <c r="D827" s="14" t="s">
        <v>43</v>
      </c>
      <c r="E827" s="14" t="s">
        <v>109</v>
      </c>
      <c r="F827" s="19" t="s">
        <v>2212</v>
      </c>
      <c r="G827" s="18" t="n">
        <v>967879552</v>
      </c>
      <c r="H827" s="18" t="s">
        <v>2213</v>
      </c>
      <c r="I827" s="18"/>
      <c r="J827" s="1"/>
      <c r="K827" s="1" t="s">
        <v>21</v>
      </c>
      <c r="L827" s="1"/>
      <c r="M827" s="1"/>
      <c r="N827" s="1"/>
      <c r="O827" s="1"/>
      <c r="P827" s="6" t="s">
        <v>21</v>
      </c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21.75" hidden="false" customHeight="true" outlineLevel="0" collapsed="false">
      <c r="A828" s="4" t="n">
        <v>43482</v>
      </c>
      <c r="B828" s="14" t="s">
        <v>48</v>
      </c>
      <c r="C828" s="14" t="s">
        <v>15</v>
      </c>
      <c r="D828" s="14" t="s">
        <v>43</v>
      </c>
      <c r="E828" s="14" t="s">
        <v>109</v>
      </c>
      <c r="F828" s="19" t="s">
        <v>2214</v>
      </c>
      <c r="G828" s="18" t="n">
        <v>981941694</v>
      </c>
      <c r="H828" s="18" t="s">
        <v>2215</v>
      </c>
      <c r="I828" s="18"/>
      <c r="J828" s="1"/>
      <c r="K828" s="1" t="s">
        <v>2216</v>
      </c>
      <c r="L828" s="1"/>
      <c r="M828" s="1"/>
      <c r="N828" s="1"/>
      <c r="O828" s="1"/>
      <c r="P828" s="6" t="s">
        <v>133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21.75" hidden="false" customHeight="true" outlineLevel="0" collapsed="false">
      <c r="A829" s="4" t="n">
        <v>43482</v>
      </c>
      <c r="B829" s="14" t="s">
        <v>48</v>
      </c>
      <c r="C829" s="14" t="s">
        <v>15</v>
      </c>
      <c r="D829" s="14" t="s">
        <v>43</v>
      </c>
      <c r="E829" s="14" t="s">
        <v>109</v>
      </c>
      <c r="F829" s="19" t="s">
        <v>2217</v>
      </c>
      <c r="G829" s="18" t="n">
        <v>959962417</v>
      </c>
      <c r="H829" s="18" t="s">
        <v>2218</v>
      </c>
      <c r="I829" s="18"/>
      <c r="J829" s="1"/>
      <c r="K829" s="1" t="s">
        <v>21</v>
      </c>
      <c r="L829" s="1"/>
      <c r="M829" s="1"/>
      <c r="N829" s="1"/>
      <c r="O829" s="1"/>
      <c r="P829" s="6" t="s">
        <v>21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21.75" hidden="false" customHeight="true" outlineLevel="0" collapsed="false">
      <c r="A830" s="4" t="n">
        <v>43482</v>
      </c>
      <c r="B830" s="14" t="s">
        <v>48</v>
      </c>
      <c r="C830" s="14" t="s">
        <v>15</v>
      </c>
      <c r="D830" s="14" t="s">
        <v>43</v>
      </c>
      <c r="E830" s="14" t="s">
        <v>109</v>
      </c>
      <c r="F830" s="19" t="s">
        <v>2219</v>
      </c>
      <c r="G830" s="18" t="n">
        <v>988747192</v>
      </c>
      <c r="H830" s="18" t="s">
        <v>2220</v>
      </c>
      <c r="I830" s="18"/>
      <c r="J830" s="1"/>
      <c r="K830" s="1" t="s">
        <v>21</v>
      </c>
      <c r="L830" s="1"/>
      <c r="M830" s="1"/>
      <c r="N830" s="1"/>
      <c r="O830" s="1"/>
      <c r="P830" s="6" t="s">
        <v>21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21.75" hidden="false" customHeight="true" outlineLevel="0" collapsed="false">
      <c r="A831" s="4" t="n">
        <v>43482</v>
      </c>
      <c r="B831" s="14" t="s">
        <v>48</v>
      </c>
      <c r="C831" s="14" t="s">
        <v>15</v>
      </c>
      <c r="D831" s="14" t="s">
        <v>43</v>
      </c>
      <c r="E831" s="14" t="s">
        <v>109</v>
      </c>
      <c r="F831" s="19" t="s">
        <v>2221</v>
      </c>
      <c r="G831" s="18" t="n">
        <v>969905521</v>
      </c>
      <c r="H831" s="26" t="s">
        <v>2222</v>
      </c>
      <c r="I831" s="26"/>
      <c r="J831" s="1"/>
      <c r="K831" s="1" t="s">
        <v>21</v>
      </c>
      <c r="L831" s="1"/>
      <c r="M831" s="1"/>
      <c r="N831" s="1"/>
      <c r="O831" s="1"/>
      <c r="P831" s="6" t="s">
        <v>21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21.75" hidden="false" customHeight="true" outlineLevel="0" collapsed="false">
      <c r="A832" s="4" t="n">
        <v>43482</v>
      </c>
      <c r="B832" s="14" t="s">
        <v>48</v>
      </c>
      <c r="C832" s="14" t="s">
        <v>15</v>
      </c>
      <c r="D832" s="14" t="s">
        <v>43</v>
      </c>
      <c r="E832" s="14" t="s">
        <v>109</v>
      </c>
      <c r="F832" s="19" t="s">
        <v>2223</v>
      </c>
      <c r="G832" s="18" t="n">
        <v>985525060</v>
      </c>
      <c r="H832" s="18" t="s">
        <v>2224</v>
      </c>
      <c r="I832" s="18"/>
      <c r="J832" s="1"/>
      <c r="K832" s="1" t="s">
        <v>2225</v>
      </c>
      <c r="L832" s="1" t="s">
        <v>2226</v>
      </c>
      <c r="M832" s="1"/>
      <c r="N832" s="1"/>
      <c r="O832" s="1"/>
      <c r="P832" s="6" t="s">
        <v>133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21.75" hidden="false" customHeight="true" outlineLevel="0" collapsed="false">
      <c r="A833" s="4" t="n">
        <v>43482</v>
      </c>
      <c r="B833" s="14" t="s">
        <v>48</v>
      </c>
      <c r="C833" s="14" t="s">
        <v>15</v>
      </c>
      <c r="D833" s="14" t="s">
        <v>43</v>
      </c>
      <c r="E833" s="14" t="s">
        <v>109</v>
      </c>
      <c r="F833" s="19" t="s">
        <v>2227</v>
      </c>
      <c r="G833" s="18" t="n">
        <v>985614604</v>
      </c>
      <c r="H833" s="26" t="s">
        <v>2228</v>
      </c>
      <c r="I833" s="26"/>
      <c r="J833" s="1"/>
      <c r="K833" s="1" t="s">
        <v>21</v>
      </c>
      <c r="L833" s="1"/>
      <c r="M833" s="1"/>
      <c r="N833" s="1"/>
      <c r="O833" s="1"/>
      <c r="P833" s="6" t="s">
        <v>58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21.75" hidden="false" customHeight="true" outlineLevel="0" collapsed="false">
      <c r="A834" s="4" t="n">
        <v>43482</v>
      </c>
      <c r="B834" s="14" t="s">
        <v>48</v>
      </c>
      <c r="C834" s="14" t="s">
        <v>15</v>
      </c>
      <c r="D834" s="14" t="s">
        <v>43</v>
      </c>
      <c r="E834" s="14" t="s">
        <v>109</v>
      </c>
      <c r="F834" s="14" t="s">
        <v>2229</v>
      </c>
      <c r="G834" s="14" t="n">
        <f aca="false">+593968740774</f>
        <v>593968740774</v>
      </c>
      <c r="H834" s="14" t="s">
        <v>2230</v>
      </c>
      <c r="I834" s="14"/>
      <c r="J834" s="1"/>
      <c r="K834" s="1" t="s">
        <v>21</v>
      </c>
      <c r="L834" s="1"/>
      <c r="M834" s="1"/>
      <c r="N834" s="1"/>
      <c r="O834" s="1"/>
      <c r="P834" s="6" t="s">
        <v>58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21.75" hidden="false" customHeight="true" outlineLevel="0" collapsed="false">
      <c r="A835" s="4" t="n">
        <v>43482</v>
      </c>
      <c r="B835" s="14" t="s">
        <v>48</v>
      </c>
      <c r="C835" s="14" t="s">
        <v>15</v>
      </c>
      <c r="D835" s="14" t="s">
        <v>43</v>
      </c>
      <c r="E835" s="14" t="s">
        <v>109</v>
      </c>
      <c r="F835" s="14" t="s">
        <v>2231</v>
      </c>
      <c r="G835" s="14" t="n">
        <f aca="false">+593995788109</f>
        <v>593995788109</v>
      </c>
      <c r="H835" s="14" t="s">
        <v>2232</v>
      </c>
      <c r="I835" s="14"/>
      <c r="J835" s="1"/>
      <c r="K835" s="1" t="s">
        <v>1286</v>
      </c>
      <c r="L835" s="1"/>
      <c r="M835" s="1"/>
      <c r="N835" s="1"/>
      <c r="O835" s="1"/>
      <c r="P835" s="6" t="s">
        <v>133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21.75" hidden="false" customHeight="true" outlineLevel="0" collapsed="false">
      <c r="A836" s="4" t="n">
        <v>43482</v>
      </c>
      <c r="B836" s="14" t="s">
        <v>48</v>
      </c>
      <c r="C836" s="14" t="s">
        <v>15</v>
      </c>
      <c r="D836" s="14" t="s">
        <v>43</v>
      </c>
      <c r="E836" s="14" t="s">
        <v>109</v>
      </c>
      <c r="F836" s="14" t="s">
        <v>2233</v>
      </c>
      <c r="G836" s="14" t="n">
        <f aca="false">+593969630789</f>
        <v>593969630789</v>
      </c>
      <c r="H836" s="14" t="s">
        <v>2234</v>
      </c>
      <c r="I836" s="14"/>
      <c r="J836" s="1"/>
      <c r="K836" s="1" t="s">
        <v>2235</v>
      </c>
      <c r="L836" s="1"/>
      <c r="M836" s="1"/>
      <c r="N836" s="1"/>
      <c r="O836" s="1"/>
      <c r="P836" s="6" t="s">
        <v>133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21.75" hidden="false" customHeight="true" outlineLevel="0" collapsed="false">
      <c r="A837" s="4" t="n">
        <v>43482</v>
      </c>
      <c r="B837" s="14" t="s">
        <v>48</v>
      </c>
      <c r="C837" s="14" t="s">
        <v>15</v>
      </c>
      <c r="D837" s="14" t="s">
        <v>43</v>
      </c>
      <c r="E837" s="14" t="s">
        <v>109</v>
      </c>
      <c r="F837" s="14" t="s">
        <v>2236</v>
      </c>
      <c r="G837" s="14" t="n">
        <f aca="false">+593998894258</f>
        <v>593998894258</v>
      </c>
      <c r="H837" s="14" t="s">
        <v>2237</v>
      </c>
      <c r="I837" s="14"/>
      <c r="J837" s="1"/>
      <c r="K837" s="1" t="s">
        <v>21</v>
      </c>
      <c r="L837" s="1"/>
      <c r="M837" s="1"/>
      <c r="N837" s="1"/>
      <c r="O837" s="1"/>
      <c r="P837" s="6" t="s">
        <v>21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21.75" hidden="false" customHeight="true" outlineLevel="0" collapsed="false">
      <c r="A838" s="4" t="n">
        <v>43482</v>
      </c>
      <c r="B838" s="14" t="s">
        <v>48</v>
      </c>
      <c r="C838" s="14" t="s">
        <v>15</v>
      </c>
      <c r="D838" s="14" t="s">
        <v>43</v>
      </c>
      <c r="E838" s="14" t="s">
        <v>109</v>
      </c>
      <c r="F838" s="14" t="s">
        <v>2238</v>
      </c>
      <c r="G838" s="14" t="n">
        <f aca="false">+5930968453316</f>
        <v>5930968453316</v>
      </c>
      <c r="H838" s="14" t="s">
        <v>2239</v>
      </c>
      <c r="I838" s="14"/>
      <c r="J838" s="1"/>
      <c r="K838" s="1" t="s">
        <v>2240</v>
      </c>
      <c r="L838" s="1"/>
      <c r="M838" s="1"/>
      <c r="N838" s="1"/>
      <c r="O838" s="1"/>
      <c r="P838" s="6" t="s">
        <v>133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21.75" hidden="false" customHeight="true" outlineLevel="0" collapsed="false">
      <c r="A839" s="4" t="n">
        <v>43482</v>
      </c>
      <c r="B839" s="14" t="s">
        <v>48</v>
      </c>
      <c r="C839" s="14" t="s">
        <v>15</v>
      </c>
      <c r="D839" s="14" t="s">
        <v>43</v>
      </c>
      <c r="E839" s="14" t="s">
        <v>109</v>
      </c>
      <c r="F839" s="14" t="s">
        <v>2241</v>
      </c>
      <c r="G839" s="14" t="n">
        <f aca="false">+593987328599</f>
        <v>593987328599</v>
      </c>
      <c r="H839" s="14" t="s">
        <v>2242</v>
      </c>
      <c r="I839" s="14"/>
      <c r="J839" s="1"/>
      <c r="K839" s="1" t="s">
        <v>21</v>
      </c>
      <c r="L839" s="1"/>
      <c r="M839" s="1"/>
      <c r="N839" s="1"/>
      <c r="O839" s="1"/>
      <c r="P839" s="6" t="s">
        <v>21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21.75" hidden="false" customHeight="true" outlineLevel="0" collapsed="false">
      <c r="A840" s="4" t="n">
        <v>43482</v>
      </c>
      <c r="B840" s="14" t="s">
        <v>532</v>
      </c>
      <c r="C840" s="14" t="s">
        <v>15</v>
      </c>
      <c r="D840" s="14" t="s">
        <v>43</v>
      </c>
      <c r="E840" s="14" t="s">
        <v>109</v>
      </c>
      <c r="F840" s="14" t="s">
        <v>2243</v>
      </c>
      <c r="G840" s="14" t="n">
        <f aca="false">+593980659011</f>
        <v>593980659011</v>
      </c>
      <c r="H840" s="14" t="s">
        <v>2244</v>
      </c>
      <c r="I840" s="14"/>
      <c r="J840" s="1"/>
      <c r="K840" s="1" t="s">
        <v>727</v>
      </c>
      <c r="L840" s="1"/>
      <c r="M840" s="1"/>
      <c r="N840" s="1"/>
      <c r="O840" s="1"/>
      <c r="P840" s="6" t="s">
        <v>133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21.75" hidden="false" customHeight="true" outlineLevel="0" collapsed="false">
      <c r="A841" s="4" t="n">
        <v>43482</v>
      </c>
      <c r="B841" s="14" t="s">
        <v>532</v>
      </c>
      <c r="C841" s="14" t="s">
        <v>15</v>
      </c>
      <c r="D841" s="14" t="s">
        <v>43</v>
      </c>
      <c r="E841" s="14" t="s">
        <v>109</v>
      </c>
      <c r="F841" s="14" t="s">
        <v>2245</v>
      </c>
      <c r="G841" s="14" t="n">
        <f aca="false">+593993099734</f>
        <v>593993099734</v>
      </c>
      <c r="H841" s="14" t="s">
        <v>2246</v>
      </c>
      <c r="I841" s="14"/>
      <c r="J841" s="1"/>
      <c r="K841" s="1" t="s">
        <v>2247</v>
      </c>
      <c r="L841" s="1"/>
      <c r="M841" s="1"/>
      <c r="N841" s="1"/>
      <c r="O841" s="1"/>
      <c r="P841" s="6" t="s">
        <v>31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21.75" hidden="false" customHeight="true" outlineLevel="0" collapsed="false">
      <c r="A842" s="4" t="n">
        <v>43482</v>
      </c>
      <c r="B842" s="14" t="s">
        <v>532</v>
      </c>
      <c r="C842" s="14" t="s">
        <v>15</v>
      </c>
      <c r="D842" s="14" t="s">
        <v>43</v>
      </c>
      <c r="E842" s="14" t="s">
        <v>109</v>
      </c>
      <c r="F842" s="14" t="s">
        <v>2248</v>
      </c>
      <c r="G842" s="14" t="n">
        <f aca="false">+593939927791</f>
        <v>593939927791</v>
      </c>
      <c r="H842" s="14" t="s">
        <v>2249</v>
      </c>
      <c r="I842" s="14"/>
      <c r="J842" s="1"/>
      <c r="K842" s="1" t="s">
        <v>441</v>
      </c>
      <c r="L842" s="1"/>
      <c r="M842" s="1"/>
      <c r="N842" s="1"/>
      <c r="O842" s="1"/>
      <c r="P842" s="6" t="s">
        <v>133</v>
      </c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21.75" hidden="false" customHeight="true" outlineLevel="0" collapsed="false">
      <c r="A843" s="4" t="n">
        <v>43482</v>
      </c>
      <c r="B843" s="14" t="s">
        <v>127</v>
      </c>
      <c r="C843" s="14" t="s">
        <v>26</v>
      </c>
      <c r="D843" s="14" t="s">
        <v>43</v>
      </c>
      <c r="E843" s="14" t="s">
        <v>883</v>
      </c>
      <c r="F843" s="14" t="s">
        <v>2250</v>
      </c>
      <c r="G843" s="14" t="n">
        <f aca="false">+593984556228</f>
        <v>593984556228</v>
      </c>
      <c r="H843" s="14" t="s">
        <v>2251</v>
      </c>
      <c r="I843" s="14"/>
      <c r="J843" s="1"/>
      <c r="K843" s="1" t="s">
        <v>2252</v>
      </c>
      <c r="L843" s="1"/>
      <c r="M843" s="1"/>
      <c r="N843" s="1"/>
      <c r="O843" s="1"/>
      <c r="P843" s="6" t="s">
        <v>462</v>
      </c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21.75" hidden="false" customHeight="true" outlineLevel="0" collapsed="false">
      <c r="A844" s="4" t="n">
        <v>43482</v>
      </c>
      <c r="B844" s="18" t="s">
        <v>127</v>
      </c>
      <c r="C844" s="14" t="s">
        <v>15</v>
      </c>
      <c r="D844" s="14" t="s">
        <v>43</v>
      </c>
      <c r="E844" s="14" t="s">
        <v>44</v>
      </c>
      <c r="F844" s="14" t="s">
        <v>2223</v>
      </c>
      <c r="G844" s="14" t="n">
        <f aca="false">+593985525060</f>
        <v>593985525060</v>
      </c>
      <c r="H844" s="14" t="s">
        <v>2224</v>
      </c>
      <c r="I844" s="14"/>
      <c r="J844" s="1"/>
      <c r="K844" s="1" t="s">
        <v>428</v>
      </c>
      <c r="L844" s="1"/>
      <c r="M844" s="1"/>
      <c r="N844" s="1"/>
      <c r="O844" s="1"/>
      <c r="P844" s="6" t="s">
        <v>31</v>
      </c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21.75" hidden="false" customHeight="true" outlineLevel="0" collapsed="false">
      <c r="A845" s="4" t="n">
        <v>43482</v>
      </c>
      <c r="B845" s="14" t="s">
        <v>127</v>
      </c>
      <c r="C845" s="14" t="s">
        <v>15</v>
      </c>
      <c r="D845" s="14" t="s">
        <v>43</v>
      </c>
      <c r="E845" s="14" t="s">
        <v>109</v>
      </c>
      <c r="F845" s="14" t="s">
        <v>2253</v>
      </c>
      <c r="G845" s="14" t="n">
        <v>939665634</v>
      </c>
      <c r="H845" s="14" t="s">
        <v>2254</v>
      </c>
      <c r="I845" s="14"/>
      <c r="J845" s="1"/>
      <c r="K845" s="1" t="s">
        <v>21</v>
      </c>
      <c r="L845" s="1"/>
      <c r="M845" s="1"/>
      <c r="N845" s="1"/>
      <c r="O845" s="1"/>
      <c r="P845" s="6" t="s">
        <v>21</v>
      </c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21.75" hidden="false" customHeight="true" outlineLevel="0" collapsed="false">
      <c r="A846" s="4" t="n">
        <v>43482</v>
      </c>
      <c r="B846" s="14" t="s">
        <v>127</v>
      </c>
      <c r="C846" s="14" t="s">
        <v>15</v>
      </c>
      <c r="D846" s="14" t="s">
        <v>43</v>
      </c>
      <c r="E846" s="14" t="s">
        <v>109</v>
      </c>
      <c r="F846" s="14" t="s">
        <v>2255</v>
      </c>
      <c r="G846" s="14" t="n">
        <f aca="false">+593959214517</f>
        <v>593959214517</v>
      </c>
      <c r="H846" s="14" t="s">
        <v>2256</v>
      </c>
      <c r="I846" s="14"/>
      <c r="J846" s="1"/>
      <c r="K846" s="1" t="s">
        <v>2257</v>
      </c>
      <c r="L846" s="1"/>
      <c r="M846" s="1"/>
      <c r="N846" s="1"/>
      <c r="O846" s="1"/>
      <c r="P846" s="6" t="s">
        <v>341</v>
      </c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21.75" hidden="false" customHeight="true" outlineLevel="0" collapsed="false">
      <c r="A847" s="4" t="n">
        <v>43482</v>
      </c>
      <c r="B847" s="18" t="s">
        <v>127</v>
      </c>
      <c r="C847" s="14" t="s">
        <v>15</v>
      </c>
      <c r="D847" s="14" t="s">
        <v>43</v>
      </c>
      <c r="E847" s="14" t="s">
        <v>109</v>
      </c>
      <c r="F847" s="19" t="s">
        <v>2258</v>
      </c>
      <c r="G847" s="18" t="n">
        <v>993065981</v>
      </c>
      <c r="H847" s="18" t="s">
        <v>2259</v>
      </c>
      <c r="I847" s="18"/>
      <c r="J847" s="1"/>
      <c r="K847" s="1" t="s">
        <v>21</v>
      </c>
      <c r="L847" s="1"/>
      <c r="M847" s="1"/>
      <c r="N847" s="1"/>
      <c r="O847" s="1"/>
      <c r="P847" s="6" t="s">
        <v>21</v>
      </c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21.75" hidden="false" customHeight="true" outlineLevel="0" collapsed="false">
      <c r="A848" s="4" t="n">
        <v>43482</v>
      </c>
      <c r="B848" s="14" t="s">
        <v>127</v>
      </c>
      <c r="C848" s="14" t="s">
        <v>15</v>
      </c>
      <c r="D848" s="14" t="s">
        <v>43</v>
      </c>
      <c r="E848" s="14" t="s">
        <v>109</v>
      </c>
      <c r="F848" s="14" t="s">
        <v>2260</v>
      </c>
      <c r="G848" s="14" t="n">
        <f aca="false">+593990619580</f>
        <v>593990619580</v>
      </c>
      <c r="H848" s="14" t="s">
        <v>2261</v>
      </c>
      <c r="I848" s="14"/>
      <c r="J848" s="1"/>
      <c r="K848" s="1" t="s">
        <v>2262</v>
      </c>
      <c r="L848" s="1"/>
      <c r="M848" s="1"/>
      <c r="N848" s="1"/>
      <c r="O848" s="1"/>
      <c r="P848" s="6" t="s">
        <v>133</v>
      </c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21.75" hidden="false" customHeight="true" outlineLevel="0" collapsed="false">
      <c r="A849" s="4" t="n">
        <v>43482</v>
      </c>
      <c r="B849" s="14" t="s">
        <v>127</v>
      </c>
      <c r="C849" s="14" t="s">
        <v>15</v>
      </c>
      <c r="D849" s="14" t="s">
        <v>43</v>
      </c>
      <c r="E849" s="14" t="s">
        <v>109</v>
      </c>
      <c r="F849" s="14" t="s">
        <v>2263</v>
      </c>
      <c r="G849" s="14" t="n">
        <f aca="false">+5930988567971</f>
        <v>5930988567971</v>
      </c>
      <c r="H849" s="14" t="s">
        <v>2264</v>
      </c>
      <c r="I849" s="14"/>
      <c r="J849" s="1"/>
      <c r="K849" s="1" t="s">
        <v>21</v>
      </c>
      <c r="L849" s="1"/>
      <c r="M849" s="1"/>
      <c r="N849" s="1"/>
      <c r="O849" s="1"/>
      <c r="P849" s="6" t="s">
        <v>21</v>
      </c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21.75" hidden="false" customHeight="true" outlineLevel="0" collapsed="false">
      <c r="A850" s="4" t="n">
        <v>43482</v>
      </c>
      <c r="B850" s="14" t="s">
        <v>127</v>
      </c>
      <c r="C850" s="14" t="s">
        <v>15</v>
      </c>
      <c r="D850" s="14" t="s">
        <v>43</v>
      </c>
      <c r="E850" s="14" t="s">
        <v>109</v>
      </c>
      <c r="F850" s="14" t="s">
        <v>2265</v>
      </c>
      <c r="G850" s="14" t="n">
        <f aca="false">+593984907335</f>
        <v>593984907335</v>
      </c>
      <c r="H850" s="14" t="s">
        <v>2266</v>
      </c>
      <c r="I850" s="14"/>
      <c r="J850" s="1"/>
      <c r="K850" s="1" t="s">
        <v>2267</v>
      </c>
      <c r="L850" s="1"/>
      <c r="M850" s="1"/>
      <c r="N850" s="1"/>
      <c r="O850" s="1"/>
      <c r="P850" s="6" t="s">
        <v>31</v>
      </c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21.75" hidden="false" customHeight="true" outlineLevel="0" collapsed="false">
      <c r="A851" s="4" t="n">
        <v>43482</v>
      </c>
      <c r="B851" s="18" t="s">
        <v>964</v>
      </c>
      <c r="C851" s="14" t="s">
        <v>15</v>
      </c>
      <c r="D851" s="14" t="s">
        <v>43</v>
      </c>
      <c r="E851" s="8" t="s">
        <v>17</v>
      </c>
      <c r="F851" s="19" t="s">
        <v>2268</v>
      </c>
      <c r="G851" s="18" t="n">
        <v>994429918</v>
      </c>
      <c r="H851" s="18" t="s">
        <v>2269</v>
      </c>
      <c r="I851" s="18"/>
      <c r="J851" s="1"/>
      <c r="K851" s="1" t="s">
        <v>21</v>
      </c>
      <c r="L851" s="1"/>
      <c r="M851" s="1"/>
      <c r="N851" s="1"/>
      <c r="O851" s="1"/>
      <c r="P851" s="6" t="s">
        <v>21</v>
      </c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21.75" hidden="false" customHeight="true" outlineLevel="0" collapsed="false">
      <c r="A852" s="4" t="n">
        <v>43482</v>
      </c>
      <c r="B852" s="14" t="s">
        <v>1114</v>
      </c>
      <c r="C852" s="14" t="s">
        <v>15</v>
      </c>
      <c r="D852" s="14" t="s">
        <v>43</v>
      </c>
      <c r="E852" s="14" t="s">
        <v>883</v>
      </c>
      <c r="F852" s="14" t="s">
        <v>2270</v>
      </c>
      <c r="G852" s="14" t="n">
        <f aca="false">+593969642684</f>
        <v>593969642684</v>
      </c>
      <c r="H852" s="14" t="s">
        <v>2271</v>
      </c>
      <c r="I852" s="14"/>
      <c r="J852" s="1"/>
      <c r="K852" s="1" t="s">
        <v>21</v>
      </c>
      <c r="L852" s="1"/>
      <c r="M852" s="1"/>
      <c r="N852" s="1"/>
      <c r="O852" s="1"/>
      <c r="P852" s="6" t="s">
        <v>21</v>
      </c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21.75" hidden="false" customHeight="true" outlineLevel="0" collapsed="false">
      <c r="A853" s="4" t="n">
        <v>43482</v>
      </c>
      <c r="B853" s="14" t="s">
        <v>1114</v>
      </c>
      <c r="C853" s="14" t="s">
        <v>15</v>
      </c>
      <c r="D853" s="14" t="s">
        <v>43</v>
      </c>
      <c r="E853" s="14" t="s">
        <v>883</v>
      </c>
      <c r="F853" s="14" t="s">
        <v>2272</v>
      </c>
      <c r="G853" s="14" t="n">
        <f aca="false">+5930994656955</f>
        <v>5930994656955</v>
      </c>
      <c r="H853" s="14" t="s">
        <v>2273</v>
      </c>
      <c r="I853" s="14"/>
      <c r="J853" s="1"/>
      <c r="K853" s="1" t="s">
        <v>2274</v>
      </c>
      <c r="L853" s="1"/>
      <c r="M853" s="1"/>
      <c r="N853" s="1"/>
      <c r="O853" s="1"/>
      <c r="P853" s="6" t="s">
        <v>126</v>
      </c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21.75" hidden="false" customHeight="true" outlineLevel="0" collapsed="false">
      <c r="A854" s="4" t="n">
        <v>43482</v>
      </c>
      <c r="B854" s="14" t="s">
        <v>1114</v>
      </c>
      <c r="C854" s="14" t="s">
        <v>15</v>
      </c>
      <c r="D854" s="14" t="s">
        <v>43</v>
      </c>
      <c r="E854" s="14" t="s">
        <v>883</v>
      </c>
      <c r="F854" s="14" t="s">
        <v>2275</v>
      </c>
      <c r="G854" s="14" t="n">
        <f aca="false">+593959565889</f>
        <v>593959565889</v>
      </c>
      <c r="H854" s="14" t="s">
        <v>2276</v>
      </c>
      <c r="I854" s="14"/>
      <c r="J854" s="1"/>
      <c r="K854" s="1" t="s">
        <v>1766</v>
      </c>
      <c r="L854" s="1"/>
      <c r="M854" s="1"/>
      <c r="N854" s="1"/>
      <c r="O854" s="1"/>
      <c r="P854" s="6" t="s">
        <v>133</v>
      </c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21.75" hidden="false" customHeight="true" outlineLevel="0" collapsed="false">
      <c r="A855" s="4" t="n">
        <v>43482</v>
      </c>
      <c r="B855" s="18" t="s">
        <v>1114</v>
      </c>
      <c r="C855" s="14" t="s">
        <v>15</v>
      </c>
      <c r="D855" s="14" t="s">
        <v>43</v>
      </c>
      <c r="E855" s="14" t="s">
        <v>883</v>
      </c>
      <c r="F855" s="19" t="s">
        <v>2277</v>
      </c>
      <c r="G855" s="18" t="n">
        <v>985309966</v>
      </c>
      <c r="H855" s="18" t="s">
        <v>2278</v>
      </c>
      <c r="I855" s="18"/>
      <c r="J855" s="1"/>
      <c r="K855" s="1" t="s">
        <v>21</v>
      </c>
      <c r="L855" s="1"/>
      <c r="M855" s="1"/>
      <c r="N855" s="1"/>
      <c r="O855" s="1"/>
      <c r="P855" s="6" t="s">
        <v>21</v>
      </c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21.75" hidden="false" customHeight="true" outlineLevel="0" collapsed="false">
      <c r="A856" s="4" t="n">
        <v>43482</v>
      </c>
      <c r="B856" s="14" t="s">
        <v>1114</v>
      </c>
      <c r="C856" s="14" t="s">
        <v>15</v>
      </c>
      <c r="D856" s="14" t="s">
        <v>43</v>
      </c>
      <c r="E856" s="14" t="s">
        <v>109</v>
      </c>
      <c r="F856" s="14" t="s">
        <v>2279</v>
      </c>
      <c r="G856" s="14" t="n">
        <f aca="false">+5930939040293</f>
        <v>5930939040293</v>
      </c>
      <c r="H856" s="14" t="s">
        <v>2280</v>
      </c>
      <c r="I856" s="14"/>
      <c r="J856" s="1"/>
      <c r="K856" s="1" t="s">
        <v>21</v>
      </c>
      <c r="L856" s="1"/>
      <c r="M856" s="1"/>
      <c r="N856" s="1"/>
      <c r="O856" s="1"/>
      <c r="P856" s="6" t="s">
        <v>21</v>
      </c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21.75" hidden="false" customHeight="true" outlineLevel="0" collapsed="false">
      <c r="A857" s="4" t="n">
        <v>43482</v>
      </c>
      <c r="B857" s="14" t="s">
        <v>1114</v>
      </c>
      <c r="C857" s="14" t="s">
        <v>15</v>
      </c>
      <c r="D857" s="14" t="s">
        <v>43</v>
      </c>
      <c r="E857" s="14" t="s">
        <v>109</v>
      </c>
      <c r="F857" s="14" t="s">
        <v>2281</v>
      </c>
      <c r="G857" s="14" t="n">
        <f aca="false">+593992863946</f>
        <v>593992863946</v>
      </c>
      <c r="H857" s="14" t="s">
        <v>2282</v>
      </c>
      <c r="I857" s="14"/>
      <c r="J857" s="1"/>
      <c r="K857" s="1" t="s">
        <v>21</v>
      </c>
      <c r="L857" s="1"/>
      <c r="M857" s="1"/>
      <c r="N857" s="1"/>
      <c r="O857" s="1"/>
      <c r="P857" s="6" t="s">
        <v>21</v>
      </c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21.75" hidden="false" customHeight="true" outlineLevel="0" collapsed="false">
      <c r="A858" s="4" t="n">
        <v>43482</v>
      </c>
      <c r="B858" s="14" t="s">
        <v>1114</v>
      </c>
      <c r="C858" s="14" t="s">
        <v>15</v>
      </c>
      <c r="D858" s="14" t="s">
        <v>43</v>
      </c>
      <c r="E858" s="14" t="s">
        <v>109</v>
      </c>
      <c r="F858" s="14" t="s">
        <v>2283</v>
      </c>
      <c r="G858" s="14" t="n">
        <f aca="false">+593959418906</f>
        <v>593959418906</v>
      </c>
      <c r="H858" s="14" t="s">
        <v>2284</v>
      </c>
      <c r="I858" s="14"/>
      <c r="J858" s="1"/>
      <c r="K858" s="1" t="s">
        <v>195</v>
      </c>
      <c r="L858" s="1"/>
      <c r="M858" s="1"/>
      <c r="N858" s="1"/>
      <c r="O858" s="1"/>
      <c r="P858" s="6" t="s">
        <v>133</v>
      </c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21.75" hidden="false" customHeight="true" outlineLevel="0" collapsed="false">
      <c r="A859" s="4" t="n">
        <v>43482</v>
      </c>
      <c r="B859" s="14" t="s">
        <v>1114</v>
      </c>
      <c r="C859" s="14" t="s">
        <v>15</v>
      </c>
      <c r="D859" s="14" t="s">
        <v>43</v>
      </c>
      <c r="E859" s="14" t="s">
        <v>109</v>
      </c>
      <c r="F859" s="14" t="s">
        <v>2285</v>
      </c>
      <c r="G859" s="14" t="n">
        <f aca="false">+5930983167275</f>
        <v>5930983167275</v>
      </c>
      <c r="H859" s="14" t="s">
        <v>2286</v>
      </c>
      <c r="I859" s="14"/>
      <c r="J859" s="1"/>
      <c r="K859" s="1" t="s">
        <v>21</v>
      </c>
      <c r="L859" s="1"/>
      <c r="M859" s="1"/>
      <c r="N859" s="1"/>
      <c r="O859" s="1"/>
      <c r="P859" s="6" t="s">
        <v>21</v>
      </c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21.75" hidden="false" customHeight="true" outlineLevel="0" collapsed="false">
      <c r="A860" s="4" t="n">
        <v>43482</v>
      </c>
      <c r="B860" s="18" t="s">
        <v>415</v>
      </c>
      <c r="C860" s="14" t="s">
        <v>15</v>
      </c>
      <c r="D860" s="14" t="s">
        <v>43</v>
      </c>
      <c r="E860" s="14" t="s">
        <v>44</v>
      </c>
      <c r="F860" s="19" t="s">
        <v>2287</v>
      </c>
      <c r="G860" s="18" t="n">
        <v>989556170</v>
      </c>
      <c r="H860" s="26" t="s">
        <v>2288</v>
      </c>
      <c r="I860" s="26"/>
      <c r="J860" s="1"/>
      <c r="K860" s="1" t="s">
        <v>21</v>
      </c>
      <c r="L860" s="1"/>
      <c r="M860" s="1"/>
      <c r="N860" s="1"/>
      <c r="O860" s="1"/>
      <c r="P860" s="6" t="s">
        <v>21</v>
      </c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21.75" hidden="false" customHeight="true" outlineLevel="0" collapsed="false">
      <c r="A861" s="4" t="n">
        <v>43482</v>
      </c>
      <c r="B861" s="14" t="s">
        <v>415</v>
      </c>
      <c r="C861" s="14" t="s">
        <v>15</v>
      </c>
      <c r="D861" s="14" t="s">
        <v>43</v>
      </c>
      <c r="E861" s="14" t="s">
        <v>109</v>
      </c>
      <c r="F861" s="14" t="s">
        <v>2289</v>
      </c>
      <c r="G861" s="14" t="n">
        <f aca="false">+593994794390</f>
        <v>593994794390</v>
      </c>
      <c r="H861" s="14" t="s">
        <v>2290</v>
      </c>
      <c r="I861" s="14"/>
      <c r="J861" s="1"/>
      <c r="K861" s="1" t="s">
        <v>21</v>
      </c>
      <c r="L861" s="1"/>
      <c r="M861" s="1"/>
      <c r="N861" s="1"/>
      <c r="O861" s="1"/>
      <c r="P861" s="6" t="s">
        <v>21</v>
      </c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21.75" hidden="false" customHeight="true" outlineLevel="0" collapsed="false">
      <c r="A862" s="4" t="n">
        <v>43482</v>
      </c>
      <c r="B862" s="18" t="s">
        <v>415</v>
      </c>
      <c r="C862" s="14" t="s">
        <v>15</v>
      </c>
      <c r="D862" s="14" t="s">
        <v>43</v>
      </c>
      <c r="E862" s="14" t="s">
        <v>109</v>
      </c>
      <c r="F862" s="18" t="s">
        <v>2291</v>
      </c>
      <c r="G862" s="18" t="n">
        <v>996349613</v>
      </c>
      <c r="H862" s="18" t="s">
        <v>2115</v>
      </c>
      <c r="I862" s="18"/>
      <c r="J862" s="1"/>
      <c r="K862" s="1" t="s">
        <v>21</v>
      </c>
      <c r="L862" s="1"/>
      <c r="M862" s="1"/>
      <c r="N862" s="1"/>
      <c r="O862" s="1"/>
      <c r="P862" s="6" t="s">
        <v>21</v>
      </c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21.75" hidden="false" customHeight="true" outlineLevel="0" collapsed="false">
      <c r="A863" s="4" t="n">
        <v>43482</v>
      </c>
      <c r="B863" s="14" t="s">
        <v>352</v>
      </c>
      <c r="C863" s="14" t="s">
        <v>15</v>
      </c>
      <c r="D863" s="14" t="s">
        <v>43</v>
      </c>
      <c r="E863" s="14" t="s">
        <v>883</v>
      </c>
      <c r="F863" s="14" t="s">
        <v>2292</v>
      </c>
      <c r="G863" s="14" t="n">
        <f aca="false">+593997934163</f>
        <v>593997934163</v>
      </c>
      <c r="H863" s="14" t="s">
        <v>2293</v>
      </c>
      <c r="I863" s="14"/>
      <c r="J863" s="1"/>
      <c r="K863" s="1" t="s">
        <v>21</v>
      </c>
      <c r="L863" s="1"/>
      <c r="M863" s="1"/>
      <c r="N863" s="1"/>
      <c r="O863" s="1"/>
      <c r="P863" s="6" t="s">
        <v>21</v>
      </c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21.75" hidden="false" customHeight="true" outlineLevel="0" collapsed="false">
      <c r="A864" s="4" t="n">
        <v>43482</v>
      </c>
      <c r="B864" s="14" t="s">
        <v>352</v>
      </c>
      <c r="C864" s="14" t="s">
        <v>15</v>
      </c>
      <c r="D864" s="14" t="s">
        <v>43</v>
      </c>
      <c r="E864" s="14" t="s">
        <v>883</v>
      </c>
      <c r="F864" s="14" t="s">
        <v>2294</v>
      </c>
      <c r="G864" s="14" t="n">
        <f aca="false">+593994133449</f>
        <v>593994133449</v>
      </c>
      <c r="H864" s="14" t="s">
        <v>2295</v>
      </c>
      <c r="I864" s="14"/>
      <c r="J864" s="1"/>
      <c r="K864" s="1" t="s">
        <v>2296</v>
      </c>
      <c r="L864" s="1"/>
      <c r="M864" s="1"/>
      <c r="N864" s="1"/>
      <c r="O864" s="1"/>
      <c r="P864" s="6" t="s">
        <v>133</v>
      </c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21.75" hidden="false" customHeight="true" outlineLevel="0" collapsed="false">
      <c r="A865" s="4" t="n">
        <v>43482</v>
      </c>
      <c r="B865" s="18" t="s">
        <v>352</v>
      </c>
      <c r="C865" s="14" t="s">
        <v>15</v>
      </c>
      <c r="D865" s="14" t="s">
        <v>43</v>
      </c>
      <c r="E865" s="14" t="s">
        <v>883</v>
      </c>
      <c r="F865" s="19" t="s">
        <v>2297</v>
      </c>
      <c r="G865" s="18" t="n">
        <v>42537546</v>
      </c>
      <c r="H865" s="18" t="s">
        <v>2298</v>
      </c>
      <c r="I865" s="18"/>
      <c r="J865" s="1"/>
      <c r="K865" s="1" t="s">
        <v>2299</v>
      </c>
      <c r="L865" s="1"/>
      <c r="M865" s="1"/>
      <c r="N865" s="1"/>
      <c r="O865" s="1"/>
      <c r="P865" s="6" t="s">
        <v>126</v>
      </c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21.75" hidden="false" customHeight="true" outlineLevel="0" collapsed="false">
      <c r="A866" s="4" t="n">
        <v>43482</v>
      </c>
      <c r="B866" s="14" t="s">
        <v>352</v>
      </c>
      <c r="C866" s="14" t="s">
        <v>15</v>
      </c>
      <c r="D866" s="14" t="s">
        <v>43</v>
      </c>
      <c r="E866" s="14" t="s">
        <v>109</v>
      </c>
      <c r="F866" s="14" t="s">
        <v>2300</v>
      </c>
      <c r="G866" s="14" t="n">
        <f aca="false">+5930991327600</f>
        <v>5930991327600</v>
      </c>
      <c r="H866" s="14" t="s">
        <v>2301</v>
      </c>
      <c r="I866" s="14"/>
      <c r="J866" s="1"/>
      <c r="K866" s="1" t="s">
        <v>2302</v>
      </c>
      <c r="L866" s="1"/>
      <c r="M866" s="1"/>
      <c r="N866" s="1"/>
      <c r="O866" s="1"/>
      <c r="P866" s="6" t="s">
        <v>31</v>
      </c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21.75" hidden="false" customHeight="true" outlineLevel="0" collapsed="false">
      <c r="A867" s="4" t="n">
        <v>43482</v>
      </c>
      <c r="B867" s="14" t="s">
        <v>352</v>
      </c>
      <c r="C867" s="14" t="s">
        <v>15</v>
      </c>
      <c r="D867" s="14" t="s">
        <v>43</v>
      </c>
      <c r="E867" s="14" t="s">
        <v>109</v>
      </c>
      <c r="F867" s="14" t="s">
        <v>2303</v>
      </c>
      <c r="G867" s="14" t="n">
        <f aca="false">+5930991187748</f>
        <v>5930991187748</v>
      </c>
      <c r="H867" s="14" t="s">
        <v>2304</v>
      </c>
      <c r="I867" s="14"/>
      <c r="J867" s="1"/>
      <c r="K867" s="1" t="s">
        <v>1369</v>
      </c>
      <c r="L867" s="1"/>
      <c r="M867" s="1"/>
      <c r="N867" s="1"/>
      <c r="O867" s="1"/>
      <c r="P867" s="6" t="s">
        <v>133</v>
      </c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21.75" hidden="false" customHeight="true" outlineLevel="0" collapsed="false">
      <c r="A868" s="4" t="n">
        <v>43482</v>
      </c>
      <c r="B868" s="14" t="s">
        <v>352</v>
      </c>
      <c r="C868" s="14" t="s">
        <v>26</v>
      </c>
      <c r="D868" s="14" t="s">
        <v>43</v>
      </c>
      <c r="E868" s="14" t="s">
        <v>109</v>
      </c>
      <c r="F868" s="14" t="s">
        <v>2305</v>
      </c>
      <c r="G868" s="14" t="n">
        <f aca="false">+593996604022</f>
        <v>593996604022</v>
      </c>
      <c r="H868" s="14" t="s">
        <v>2306</v>
      </c>
      <c r="I868" s="14"/>
      <c r="J868" s="1"/>
      <c r="K868" s="1" t="s">
        <v>21</v>
      </c>
      <c r="L868" s="1"/>
      <c r="M868" s="1"/>
      <c r="N868" s="1"/>
      <c r="O868" s="1"/>
      <c r="P868" s="6" t="s">
        <v>21</v>
      </c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21.75" hidden="false" customHeight="true" outlineLevel="0" collapsed="false">
      <c r="A869" s="4" t="n">
        <v>43482</v>
      </c>
      <c r="B869" s="14" t="s">
        <v>352</v>
      </c>
      <c r="C869" s="14" t="s">
        <v>15</v>
      </c>
      <c r="D869" s="14" t="s">
        <v>43</v>
      </c>
      <c r="E869" s="14" t="s">
        <v>109</v>
      </c>
      <c r="F869" s="14" t="s">
        <v>2307</v>
      </c>
      <c r="G869" s="14" t="n">
        <f aca="false">+593993521185</f>
        <v>593993521185</v>
      </c>
      <c r="H869" s="14" t="s">
        <v>2308</v>
      </c>
      <c r="I869" s="14"/>
      <c r="J869" s="1"/>
      <c r="K869" s="1" t="s">
        <v>21</v>
      </c>
      <c r="L869" s="1"/>
      <c r="M869" s="1"/>
      <c r="N869" s="1"/>
      <c r="O869" s="1"/>
      <c r="P869" s="6" t="s">
        <v>21</v>
      </c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21.75" hidden="false" customHeight="true" outlineLevel="0" collapsed="false">
      <c r="A870" s="4" t="n">
        <v>43482</v>
      </c>
      <c r="B870" s="14" t="s">
        <v>352</v>
      </c>
      <c r="C870" s="14" t="s">
        <v>15</v>
      </c>
      <c r="D870" s="14" t="s">
        <v>43</v>
      </c>
      <c r="E870" s="14" t="s">
        <v>109</v>
      </c>
      <c r="F870" s="14" t="s">
        <v>2309</v>
      </c>
      <c r="G870" s="14" t="n">
        <f aca="false">+593993490931</f>
        <v>593993490931</v>
      </c>
      <c r="H870" s="14" t="s">
        <v>2310</v>
      </c>
      <c r="I870" s="14"/>
      <c r="J870" s="1"/>
      <c r="K870" s="1" t="s">
        <v>21</v>
      </c>
      <c r="L870" s="1"/>
      <c r="M870" s="1"/>
      <c r="N870" s="1"/>
      <c r="O870" s="1"/>
      <c r="P870" s="6" t="s">
        <v>21</v>
      </c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21.75" hidden="false" customHeight="true" outlineLevel="0" collapsed="false">
      <c r="A871" s="4" t="n">
        <v>43482</v>
      </c>
      <c r="B871" s="14" t="s">
        <v>352</v>
      </c>
      <c r="C871" s="14" t="s">
        <v>15</v>
      </c>
      <c r="D871" s="14" t="s">
        <v>43</v>
      </c>
      <c r="E871" s="14" t="s">
        <v>109</v>
      </c>
      <c r="F871" s="14" t="s">
        <v>2311</v>
      </c>
      <c r="G871" s="14" t="n">
        <f aca="false">+593980169098</f>
        <v>593980169098</v>
      </c>
      <c r="H871" s="14" t="s">
        <v>2312</v>
      </c>
      <c r="I871" s="14"/>
      <c r="J871" s="1"/>
      <c r="K871" s="1" t="s">
        <v>21</v>
      </c>
      <c r="L871" s="1"/>
      <c r="M871" s="1"/>
      <c r="N871" s="1"/>
      <c r="O871" s="1"/>
      <c r="P871" s="6" t="s">
        <v>21</v>
      </c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21.75" hidden="false" customHeight="true" outlineLevel="0" collapsed="false">
      <c r="A872" s="4" t="n">
        <v>43482</v>
      </c>
      <c r="B872" s="14" t="s">
        <v>178</v>
      </c>
      <c r="C872" s="14" t="s">
        <v>15</v>
      </c>
      <c r="D872" s="14" t="s">
        <v>43</v>
      </c>
      <c r="E872" s="14" t="s">
        <v>883</v>
      </c>
      <c r="F872" s="14" t="s">
        <v>2313</v>
      </c>
      <c r="G872" s="14" t="n">
        <f aca="false">+593967738990</f>
        <v>593967738990</v>
      </c>
      <c r="H872" s="14" t="s">
        <v>2314</v>
      </c>
      <c r="I872" s="14"/>
      <c r="J872" s="1"/>
      <c r="K872" s="1" t="s">
        <v>21</v>
      </c>
      <c r="L872" s="1"/>
      <c r="M872" s="1"/>
      <c r="N872" s="1"/>
      <c r="O872" s="1"/>
      <c r="P872" s="6" t="s">
        <v>21</v>
      </c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21.75" hidden="false" customHeight="true" outlineLevel="0" collapsed="false">
      <c r="A873" s="4" t="n">
        <v>43482</v>
      </c>
      <c r="B873" s="18" t="s">
        <v>178</v>
      </c>
      <c r="C873" s="14" t="s">
        <v>15</v>
      </c>
      <c r="D873" s="14" t="s">
        <v>43</v>
      </c>
      <c r="E873" s="14" t="s">
        <v>44</v>
      </c>
      <c r="F873" s="14" t="s">
        <v>2315</v>
      </c>
      <c r="G873" s="14" t="n">
        <f aca="false">+593992815619</f>
        <v>593992815619</v>
      </c>
      <c r="H873" s="14" t="s">
        <v>2316</v>
      </c>
      <c r="I873" s="14"/>
      <c r="J873" s="1"/>
      <c r="K873" s="1" t="s">
        <v>21</v>
      </c>
      <c r="L873" s="1"/>
      <c r="M873" s="1"/>
      <c r="N873" s="1"/>
      <c r="O873" s="1"/>
      <c r="P873" s="6" t="s">
        <v>21</v>
      </c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21.75" hidden="false" customHeight="true" outlineLevel="0" collapsed="false">
      <c r="A874" s="4" t="n">
        <v>43482</v>
      </c>
      <c r="B874" s="18" t="s">
        <v>178</v>
      </c>
      <c r="C874" s="14" t="s">
        <v>15</v>
      </c>
      <c r="D874" s="14" t="s">
        <v>43</v>
      </c>
      <c r="E874" s="14" t="s">
        <v>44</v>
      </c>
      <c r="F874" s="14" t="s">
        <v>2317</v>
      </c>
      <c r="G874" s="14" t="n">
        <f aca="false">+5930997068339</f>
        <v>5930997068339</v>
      </c>
      <c r="H874" s="14" t="s">
        <v>2318</v>
      </c>
      <c r="I874" s="14"/>
      <c r="J874" s="1"/>
      <c r="K874" s="1" t="s">
        <v>21</v>
      </c>
      <c r="L874" s="1"/>
      <c r="M874" s="1"/>
      <c r="N874" s="1"/>
      <c r="O874" s="1"/>
      <c r="P874" s="6" t="s">
        <v>21</v>
      </c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21.75" hidden="false" customHeight="true" outlineLevel="0" collapsed="false">
      <c r="A875" s="4" t="n">
        <v>43482</v>
      </c>
      <c r="B875" s="14" t="s">
        <v>178</v>
      </c>
      <c r="C875" s="14" t="s">
        <v>15</v>
      </c>
      <c r="D875" s="14" t="s">
        <v>43</v>
      </c>
      <c r="E875" s="14" t="s">
        <v>109</v>
      </c>
      <c r="F875" s="14" t="s">
        <v>2319</v>
      </c>
      <c r="G875" s="14" t="n">
        <f aca="false">+593962922109</f>
        <v>593962922109</v>
      </c>
      <c r="H875" s="14" t="s">
        <v>2320</v>
      </c>
      <c r="I875" s="14"/>
      <c r="J875" s="1"/>
      <c r="K875" s="1" t="s">
        <v>2321</v>
      </c>
      <c r="L875" s="1"/>
      <c r="M875" s="1"/>
      <c r="N875" s="1"/>
      <c r="O875" s="1"/>
      <c r="P875" s="6" t="s">
        <v>31</v>
      </c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21.75" hidden="false" customHeight="true" outlineLevel="0" collapsed="false">
      <c r="A876" s="4" t="n">
        <v>43482</v>
      </c>
      <c r="B876" s="14" t="s">
        <v>178</v>
      </c>
      <c r="C876" s="14" t="s">
        <v>15</v>
      </c>
      <c r="D876" s="14" t="s">
        <v>43</v>
      </c>
      <c r="E876" s="14" t="s">
        <v>109</v>
      </c>
      <c r="F876" s="14" t="s">
        <v>2322</v>
      </c>
      <c r="G876" s="14" t="n">
        <f aca="false">+5930978603981</f>
        <v>5930978603981</v>
      </c>
      <c r="H876" s="14" t="s">
        <v>2323</v>
      </c>
      <c r="I876" s="14"/>
      <c r="J876" s="1"/>
      <c r="K876" s="1" t="s">
        <v>21</v>
      </c>
      <c r="L876" s="1"/>
      <c r="M876" s="1"/>
      <c r="N876" s="1"/>
      <c r="O876" s="1"/>
      <c r="P876" s="6" t="s">
        <v>21</v>
      </c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21.75" hidden="false" customHeight="true" outlineLevel="0" collapsed="false">
      <c r="A877" s="4" t="n">
        <v>43482</v>
      </c>
      <c r="B877" s="18" t="s">
        <v>81</v>
      </c>
      <c r="C877" s="14" t="s">
        <v>15</v>
      </c>
      <c r="D877" s="14" t="s">
        <v>43</v>
      </c>
      <c r="E877" s="14" t="s">
        <v>44</v>
      </c>
      <c r="F877" s="14" t="s">
        <v>2324</v>
      </c>
      <c r="G877" s="14" t="n">
        <f aca="false">+5930995840270</f>
        <v>5930995840270</v>
      </c>
      <c r="H877" s="14" t="s">
        <v>2325</v>
      </c>
      <c r="I877" s="14"/>
      <c r="J877" s="1"/>
      <c r="K877" s="1" t="s">
        <v>21</v>
      </c>
      <c r="L877" s="1"/>
      <c r="M877" s="1"/>
      <c r="N877" s="1"/>
      <c r="O877" s="1"/>
      <c r="P877" s="6" t="s">
        <v>21</v>
      </c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21.75" hidden="false" customHeight="true" outlineLevel="0" collapsed="false">
      <c r="A878" s="4" t="n">
        <v>43482</v>
      </c>
      <c r="B878" s="11" t="s">
        <v>286</v>
      </c>
      <c r="C878" s="14" t="s">
        <v>15</v>
      </c>
      <c r="D878" s="14" t="s">
        <v>16</v>
      </c>
      <c r="E878" s="14" t="s">
        <v>17</v>
      </c>
      <c r="F878" s="14" t="s">
        <v>2326</v>
      </c>
      <c r="G878" s="14" t="n">
        <f aca="false">+593959235831</f>
        <v>593959235831</v>
      </c>
      <c r="H878" s="14" t="s">
        <v>2327</v>
      </c>
      <c r="I878" s="14"/>
      <c r="J878" s="1"/>
      <c r="K878" s="1" t="s">
        <v>21</v>
      </c>
      <c r="L878" s="1"/>
      <c r="M878" s="1"/>
      <c r="N878" s="1"/>
      <c r="O878" s="1"/>
      <c r="P878" s="6" t="s">
        <v>21</v>
      </c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21.75" hidden="false" customHeight="true" outlineLevel="0" collapsed="false">
      <c r="A879" s="4" t="n">
        <v>43482</v>
      </c>
      <c r="B879" s="18" t="s">
        <v>86</v>
      </c>
      <c r="C879" s="14" t="s">
        <v>15</v>
      </c>
      <c r="D879" s="14" t="s">
        <v>16</v>
      </c>
      <c r="E879" s="14" t="s">
        <v>17</v>
      </c>
      <c r="F879" s="14" t="s">
        <v>2328</v>
      </c>
      <c r="G879" s="14" t="n">
        <f aca="false">+593986950612</f>
        <v>593986950612</v>
      </c>
      <c r="H879" s="14" t="s">
        <v>2329</v>
      </c>
      <c r="I879" s="14"/>
      <c r="J879" s="1"/>
      <c r="K879" s="1" t="s">
        <v>21</v>
      </c>
      <c r="L879" s="1"/>
      <c r="M879" s="1"/>
      <c r="N879" s="1"/>
      <c r="O879" s="1"/>
      <c r="P879" s="6" t="s">
        <v>21</v>
      </c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21.75" hidden="false" customHeight="true" outlineLevel="0" collapsed="false">
      <c r="A880" s="4" t="n">
        <v>43482</v>
      </c>
      <c r="B880" s="18" t="s">
        <v>86</v>
      </c>
      <c r="C880" s="14" t="s">
        <v>15</v>
      </c>
      <c r="D880" s="14" t="s">
        <v>16</v>
      </c>
      <c r="E880" s="14" t="s">
        <v>17</v>
      </c>
      <c r="F880" s="14" t="s">
        <v>2330</v>
      </c>
      <c r="G880" s="14" t="n">
        <f aca="false">+593986739025</f>
        <v>593986739025</v>
      </c>
      <c r="H880" s="14" t="s">
        <v>2331</v>
      </c>
      <c r="I880" s="14"/>
      <c r="J880" s="1"/>
      <c r="K880" s="1" t="s">
        <v>21</v>
      </c>
      <c r="L880" s="1"/>
      <c r="M880" s="1"/>
      <c r="N880" s="1"/>
      <c r="O880" s="1"/>
      <c r="P880" s="6" t="s">
        <v>21</v>
      </c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21.75" hidden="false" customHeight="true" outlineLevel="0" collapsed="false">
      <c r="A881" s="4" t="n">
        <v>43482</v>
      </c>
      <c r="B881" s="18" t="s">
        <v>86</v>
      </c>
      <c r="C881" s="14" t="s">
        <v>15</v>
      </c>
      <c r="D881" s="14" t="s">
        <v>16</v>
      </c>
      <c r="E881" s="14" t="s">
        <v>17</v>
      </c>
      <c r="F881" s="14" t="s">
        <v>2332</v>
      </c>
      <c r="G881" s="14" t="n">
        <f aca="false">+593959943428</f>
        <v>593959943428</v>
      </c>
      <c r="H881" s="14" t="s">
        <v>2333</v>
      </c>
      <c r="I881" s="14"/>
      <c r="J881" s="1"/>
      <c r="K881" s="1" t="s">
        <v>95</v>
      </c>
      <c r="L881" s="1"/>
      <c r="M881" s="1"/>
      <c r="N881" s="1"/>
      <c r="O881" s="1"/>
      <c r="P881" s="6" t="s">
        <v>133</v>
      </c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21.75" hidden="false" customHeight="true" outlineLevel="0" collapsed="false">
      <c r="A882" s="4" t="n">
        <v>43482</v>
      </c>
      <c r="B882" s="18" t="s">
        <v>86</v>
      </c>
      <c r="C882" s="14" t="s">
        <v>15</v>
      </c>
      <c r="D882" s="14" t="s">
        <v>16</v>
      </c>
      <c r="E882" s="14" t="s">
        <v>17</v>
      </c>
      <c r="F882" s="14" t="s">
        <v>2334</v>
      </c>
      <c r="G882" s="14" t="n">
        <f aca="false">+593982639377</f>
        <v>593982639377</v>
      </c>
      <c r="H882" s="14" t="s">
        <v>2335</v>
      </c>
      <c r="I882" s="14"/>
      <c r="J882" s="1"/>
      <c r="K882" s="1" t="s">
        <v>2336</v>
      </c>
      <c r="L882" s="1"/>
      <c r="M882" s="1"/>
      <c r="N882" s="1"/>
      <c r="O882" s="1"/>
      <c r="P882" s="6" t="s">
        <v>133</v>
      </c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21.75" hidden="false" customHeight="true" outlineLevel="0" collapsed="false">
      <c r="A883" s="4" t="n">
        <v>43482</v>
      </c>
      <c r="B883" s="18" t="s">
        <v>86</v>
      </c>
      <c r="C883" s="14" t="s">
        <v>15</v>
      </c>
      <c r="D883" s="14" t="s">
        <v>16</v>
      </c>
      <c r="E883" s="14" t="s">
        <v>17</v>
      </c>
      <c r="F883" s="14" t="s">
        <v>2337</v>
      </c>
      <c r="G883" s="14" t="n">
        <f aca="false">+5930984383530</f>
        <v>5930984383530</v>
      </c>
      <c r="H883" s="14" t="s">
        <v>2338</v>
      </c>
      <c r="I883" s="14"/>
      <c r="J883" s="1"/>
      <c r="K883" s="1" t="s">
        <v>21</v>
      </c>
      <c r="L883" s="1"/>
      <c r="M883" s="1"/>
      <c r="N883" s="1"/>
      <c r="O883" s="1"/>
      <c r="P883" s="6" t="s">
        <v>21</v>
      </c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21.75" hidden="false" customHeight="true" outlineLevel="0" collapsed="false">
      <c r="A884" s="4" t="n">
        <v>43482</v>
      </c>
      <c r="B884" s="18" t="s">
        <v>86</v>
      </c>
      <c r="C884" s="14" t="s">
        <v>15</v>
      </c>
      <c r="D884" s="14" t="s">
        <v>16</v>
      </c>
      <c r="E884" s="14" t="s">
        <v>17</v>
      </c>
      <c r="F884" s="14" t="s">
        <v>2339</v>
      </c>
      <c r="G884" s="14" t="n">
        <f aca="false">+593996458564</f>
        <v>593996458564</v>
      </c>
      <c r="H884" s="14" t="s">
        <v>2340</v>
      </c>
      <c r="I884" s="14"/>
      <c r="J884" s="1"/>
      <c r="K884" s="1" t="s">
        <v>21</v>
      </c>
      <c r="L884" s="1"/>
      <c r="M884" s="1"/>
      <c r="N884" s="1"/>
      <c r="O884" s="1"/>
      <c r="P884" s="6" t="s">
        <v>21</v>
      </c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21.75" hidden="false" customHeight="true" outlineLevel="0" collapsed="false">
      <c r="A885" s="4" t="n">
        <v>43482</v>
      </c>
      <c r="B885" s="18" t="s">
        <v>86</v>
      </c>
      <c r="C885" s="14" t="s">
        <v>15</v>
      </c>
      <c r="D885" s="14" t="s">
        <v>16</v>
      </c>
      <c r="E885" s="14" t="s">
        <v>17</v>
      </c>
      <c r="F885" s="14" t="s">
        <v>2341</v>
      </c>
      <c r="G885" s="14" t="n">
        <f aca="false">+593979580598</f>
        <v>593979580598</v>
      </c>
      <c r="H885" s="14" t="s">
        <v>2342</v>
      </c>
      <c r="I885" s="14"/>
      <c r="J885" s="1"/>
      <c r="K885" s="1" t="s">
        <v>294</v>
      </c>
      <c r="L885" s="1"/>
      <c r="M885" s="1"/>
      <c r="N885" s="1"/>
      <c r="O885" s="1"/>
      <c r="P885" s="6" t="s">
        <v>341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21.75" hidden="false" customHeight="true" outlineLevel="0" collapsed="false">
      <c r="A886" s="4" t="n">
        <v>43482</v>
      </c>
      <c r="B886" s="18" t="s">
        <v>86</v>
      </c>
      <c r="C886" s="14" t="s">
        <v>15</v>
      </c>
      <c r="D886" s="14" t="s">
        <v>16</v>
      </c>
      <c r="E886" s="14" t="s">
        <v>17</v>
      </c>
      <c r="F886" s="19" t="s">
        <v>2343</v>
      </c>
      <c r="G886" s="18" t="n">
        <v>994686363</v>
      </c>
      <c r="H886" s="18" t="s">
        <v>2344</v>
      </c>
      <c r="I886" s="18"/>
      <c r="J886" s="1"/>
      <c r="K886" s="1" t="s">
        <v>2345</v>
      </c>
      <c r="L886" s="1"/>
      <c r="M886" s="1"/>
      <c r="N886" s="1"/>
      <c r="O886" s="1"/>
      <c r="P886" s="6" t="s">
        <v>133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21.75" hidden="false" customHeight="true" outlineLevel="0" collapsed="false">
      <c r="A887" s="4" t="n">
        <v>43482</v>
      </c>
      <c r="B887" s="18" t="s">
        <v>86</v>
      </c>
      <c r="C887" s="14" t="s">
        <v>15</v>
      </c>
      <c r="D887" s="14" t="s">
        <v>16</v>
      </c>
      <c r="E887" s="14" t="s">
        <v>17</v>
      </c>
      <c r="F887" s="14" t="s">
        <v>2346</v>
      </c>
      <c r="G887" s="14" t="n">
        <f aca="false">+593967848472</f>
        <v>593967848472</v>
      </c>
      <c r="H887" s="14" t="s">
        <v>2347</v>
      </c>
      <c r="I887" s="14"/>
      <c r="J887" s="1"/>
      <c r="K887" s="1" t="s">
        <v>21</v>
      </c>
      <c r="L887" s="1"/>
      <c r="M887" s="1"/>
      <c r="N887" s="1"/>
      <c r="O887" s="1"/>
      <c r="P887" s="6" t="s">
        <v>21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21.75" hidden="false" customHeight="true" outlineLevel="0" collapsed="false">
      <c r="A888" s="4" t="n">
        <v>43482</v>
      </c>
      <c r="B888" s="18" t="s">
        <v>86</v>
      </c>
      <c r="C888" s="14" t="s">
        <v>15</v>
      </c>
      <c r="D888" s="14" t="s">
        <v>16</v>
      </c>
      <c r="E888" s="14" t="s">
        <v>17</v>
      </c>
      <c r="F888" s="14" t="s">
        <v>2348</v>
      </c>
      <c r="G888" s="14" t="n">
        <f aca="false">+5930982756949</f>
        <v>5930982756949</v>
      </c>
      <c r="H888" s="14" t="s">
        <v>2349</v>
      </c>
      <c r="I888" s="14"/>
      <c r="J888" s="1"/>
      <c r="K888" s="1" t="s">
        <v>21</v>
      </c>
      <c r="L888" s="1"/>
      <c r="M888" s="1"/>
      <c r="N888" s="1"/>
      <c r="O888" s="1"/>
      <c r="P888" s="6" t="s">
        <v>21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21.75" hidden="false" customHeight="true" outlineLevel="0" collapsed="false">
      <c r="A889" s="4" t="n">
        <v>43482</v>
      </c>
      <c r="B889" s="18" t="s">
        <v>86</v>
      </c>
      <c r="C889" s="14" t="s">
        <v>15</v>
      </c>
      <c r="D889" s="14" t="s">
        <v>16</v>
      </c>
      <c r="E889" s="14" t="s">
        <v>17</v>
      </c>
      <c r="F889" s="14" t="s">
        <v>2350</v>
      </c>
      <c r="G889" s="14" t="n">
        <f aca="false">+593980736878</f>
        <v>593980736878</v>
      </c>
      <c r="H889" s="14" t="s">
        <v>2351</v>
      </c>
      <c r="I889" s="14"/>
      <c r="J889" s="1"/>
      <c r="K889" s="1" t="s">
        <v>2352</v>
      </c>
      <c r="L889" s="1"/>
      <c r="M889" s="1"/>
      <c r="N889" s="1"/>
      <c r="O889" s="1"/>
      <c r="P889" s="6" t="s">
        <v>31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21.75" hidden="false" customHeight="true" outlineLevel="0" collapsed="false">
      <c r="A890" s="4" t="n">
        <v>43483</v>
      </c>
      <c r="B890" s="18" t="s">
        <v>14</v>
      </c>
      <c r="C890" s="14" t="s">
        <v>15</v>
      </c>
      <c r="D890" s="14" t="s">
        <v>16</v>
      </c>
      <c r="E890" s="14" t="s">
        <v>17</v>
      </c>
      <c r="F890" s="14" t="s">
        <v>2353</v>
      </c>
      <c r="G890" s="14" t="n">
        <f aca="false">+593992369446</f>
        <v>593992369446</v>
      </c>
      <c r="H890" s="14" t="s">
        <v>2354</v>
      </c>
      <c r="I890" s="14"/>
      <c r="J890" s="1"/>
      <c r="K890" s="1" t="s">
        <v>2355</v>
      </c>
      <c r="L890" s="1"/>
      <c r="M890" s="1"/>
      <c r="N890" s="1"/>
      <c r="O890" s="1"/>
      <c r="P890" s="1" t="s">
        <v>751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21.75" hidden="false" customHeight="true" outlineLevel="0" collapsed="false">
      <c r="A891" s="4" t="n">
        <v>43483</v>
      </c>
      <c r="B891" s="18" t="s">
        <v>14</v>
      </c>
      <c r="C891" s="14" t="s">
        <v>15</v>
      </c>
      <c r="D891" s="14" t="s">
        <v>16</v>
      </c>
      <c r="E891" s="14" t="s">
        <v>17</v>
      </c>
      <c r="F891" s="14" t="s">
        <v>2356</v>
      </c>
      <c r="G891" s="14" t="n">
        <f aca="false">+5930994650223</f>
        <v>5930994650223</v>
      </c>
      <c r="H891" s="14" t="s">
        <v>2357</v>
      </c>
      <c r="I891" s="14"/>
      <c r="J891" s="1"/>
      <c r="K891" s="1" t="s">
        <v>21</v>
      </c>
      <c r="L891" s="1"/>
      <c r="M891" s="1"/>
      <c r="N891" s="1"/>
      <c r="O891" s="1"/>
      <c r="P891" s="1" t="s">
        <v>21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21.75" hidden="false" customHeight="true" outlineLevel="0" collapsed="false">
      <c r="A892" s="4" t="n">
        <v>43483</v>
      </c>
      <c r="B892" s="18" t="s">
        <v>14</v>
      </c>
      <c r="C892" s="14" t="s">
        <v>15</v>
      </c>
      <c r="D892" s="14" t="s">
        <v>16</v>
      </c>
      <c r="E892" s="14" t="s">
        <v>17</v>
      </c>
      <c r="F892" s="14" t="s">
        <v>2358</v>
      </c>
      <c r="G892" s="14" t="n">
        <f aca="false">+593990653308</f>
        <v>593990653308</v>
      </c>
      <c r="H892" s="14" t="s">
        <v>2359</v>
      </c>
      <c r="I892" s="14"/>
      <c r="J892" s="1"/>
      <c r="K892" s="1" t="s">
        <v>2360</v>
      </c>
      <c r="L892" s="1"/>
      <c r="M892" s="1"/>
      <c r="N892" s="1"/>
      <c r="O892" s="1"/>
      <c r="P892" s="6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21.75" hidden="false" customHeight="true" outlineLevel="0" collapsed="false">
      <c r="A893" s="4" t="n">
        <v>43483</v>
      </c>
      <c r="B893" s="18" t="s">
        <v>14</v>
      </c>
      <c r="C893" s="14" t="s">
        <v>15</v>
      </c>
      <c r="D893" s="14" t="s">
        <v>16</v>
      </c>
      <c r="E893" s="14" t="s">
        <v>17</v>
      </c>
      <c r="F893" s="14" t="s">
        <v>2361</v>
      </c>
      <c r="G893" s="14" t="n">
        <f aca="false">+593990986323</f>
        <v>593990986323</v>
      </c>
      <c r="H893" s="14" t="s">
        <v>2362</v>
      </c>
      <c r="I893" s="14"/>
      <c r="J893" s="1"/>
      <c r="K893" s="1" t="s">
        <v>21</v>
      </c>
      <c r="L893" s="1"/>
      <c r="M893" s="1"/>
      <c r="N893" s="1"/>
      <c r="O893" s="1"/>
      <c r="P893" s="1" t="s">
        <v>21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21.75" hidden="false" customHeight="true" outlineLevel="0" collapsed="false">
      <c r="A894" s="4" t="n">
        <v>43483</v>
      </c>
      <c r="B894" s="18" t="s">
        <v>14</v>
      </c>
      <c r="C894" s="14" t="s">
        <v>15</v>
      </c>
      <c r="D894" s="14" t="s">
        <v>16</v>
      </c>
      <c r="E894" s="14" t="s">
        <v>17</v>
      </c>
      <c r="F894" s="19" t="s">
        <v>2363</v>
      </c>
      <c r="G894" s="18" t="n">
        <v>939530269</v>
      </c>
      <c r="H894" s="18" t="s">
        <v>2364</v>
      </c>
      <c r="I894" s="18"/>
      <c r="J894" s="1"/>
      <c r="K894" s="1" t="s">
        <v>2365</v>
      </c>
      <c r="L894" s="1"/>
      <c r="M894" s="1"/>
      <c r="N894" s="1"/>
      <c r="O894" s="1"/>
      <c r="P894" s="6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21.75" hidden="false" customHeight="true" outlineLevel="0" collapsed="false">
      <c r="A895" s="4" t="n">
        <v>43483</v>
      </c>
      <c r="B895" s="18" t="s">
        <v>14</v>
      </c>
      <c r="C895" s="14" t="s">
        <v>15</v>
      </c>
      <c r="D895" s="14" t="s">
        <v>16</v>
      </c>
      <c r="E895" s="14" t="s">
        <v>17</v>
      </c>
      <c r="F895" s="19" t="s">
        <v>2366</v>
      </c>
      <c r="G895" s="18" t="n">
        <v>999619630</v>
      </c>
      <c r="H895" s="18" t="s">
        <v>2367</v>
      </c>
      <c r="I895" s="18"/>
      <c r="J895" s="1"/>
      <c r="K895" s="1" t="s">
        <v>2368</v>
      </c>
      <c r="L895" s="1"/>
      <c r="M895" s="1"/>
      <c r="N895" s="1"/>
      <c r="O895" s="1"/>
      <c r="P895" s="6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21.75" hidden="false" customHeight="true" outlineLevel="0" collapsed="false">
      <c r="A896" s="4" t="n">
        <v>43483</v>
      </c>
      <c r="B896" s="8" t="s">
        <v>42</v>
      </c>
      <c r="C896" s="14" t="s">
        <v>15</v>
      </c>
      <c r="D896" s="14" t="s">
        <v>43</v>
      </c>
      <c r="E896" s="14" t="s">
        <v>44</v>
      </c>
      <c r="F896" s="14" t="s">
        <v>2369</v>
      </c>
      <c r="G896" s="14" t="n">
        <f aca="false">+593987253959</f>
        <v>593987253959</v>
      </c>
      <c r="H896" s="14" t="s">
        <v>2370</v>
      </c>
      <c r="I896" s="14"/>
      <c r="J896" s="1"/>
      <c r="K896" s="1" t="s">
        <v>21</v>
      </c>
      <c r="L896" s="1"/>
      <c r="M896" s="1"/>
      <c r="N896" s="1"/>
      <c r="O896" s="1"/>
      <c r="P896" s="1" t="s">
        <v>21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21.75" hidden="false" customHeight="true" outlineLevel="0" collapsed="false">
      <c r="A897" s="4" t="n">
        <v>43483</v>
      </c>
      <c r="B897" s="8" t="s">
        <v>42</v>
      </c>
      <c r="C897" s="14" t="s">
        <v>15</v>
      </c>
      <c r="D897" s="14" t="s">
        <v>43</v>
      </c>
      <c r="E897" s="14" t="s">
        <v>109</v>
      </c>
      <c r="F897" s="14" t="s">
        <v>2371</v>
      </c>
      <c r="G897" s="14" t="n">
        <f aca="false">+593989962072</f>
        <v>593989962072</v>
      </c>
      <c r="H897" s="14" t="s">
        <v>2372</v>
      </c>
      <c r="I897" s="14"/>
      <c r="J897" s="1"/>
      <c r="K897" s="1" t="s">
        <v>21</v>
      </c>
      <c r="L897" s="1"/>
      <c r="M897" s="1"/>
      <c r="N897" s="1"/>
      <c r="O897" s="1"/>
      <c r="P897" s="6" t="s">
        <v>58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21.75" hidden="false" customHeight="true" outlineLevel="0" collapsed="false">
      <c r="A898" s="4" t="n">
        <v>43483</v>
      </c>
      <c r="B898" s="8" t="s">
        <v>42</v>
      </c>
      <c r="C898" s="14" t="s">
        <v>15</v>
      </c>
      <c r="D898" s="14" t="s">
        <v>43</v>
      </c>
      <c r="E898" s="14" t="s">
        <v>109</v>
      </c>
      <c r="F898" s="14" t="s">
        <v>2373</v>
      </c>
      <c r="G898" s="14" t="n">
        <f aca="false">+593992755266</f>
        <v>593992755266</v>
      </c>
      <c r="H898" s="14" t="s">
        <v>2374</v>
      </c>
      <c r="I898" s="14"/>
      <c r="J898" s="1"/>
      <c r="K898" s="1" t="s">
        <v>21</v>
      </c>
      <c r="L898" s="1"/>
      <c r="M898" s="1"/>
      <c r="N898" s="1"/>
      <c r="O898" s="1"/>
      <c r="P898" s="6" t="s">
        <v>58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21.75" hidden="false" customHeight="true" outlineLevel="0" collapsed="false">
      <c r="A899" s="4" t="n">
        <v>43483</v>
      </c>
      <c r="B899" s="18" t="s">
        <v>166</v>
      </c>
      <c r="C899" s="14" t="s">
        <v>15</v>
      </c>
      <c r="D899" s="14" t="s">
        <v>16</v>
      </c>
      <c r="E899" s="14" t="s">
        <v>17</v>
      </c>
      <c r="F899" s="14" t="s">
        <v>2375</v>
      </c>
      <c r="G899" s="14" t="n">
        <f aca="false">+593998500133</f>
        <v>593998500133</v>
      </c>
      <c r="H899" s="14" t="s">
        <v>2376</v>
      </c>
      <c r="I899" s="14"/>
      <c r="J899" s="1"/>
      <c r="K899" s="1" t="s">
        <v>21</v>
      </c>
      <c r="L899" s="1"/>
      <c r="M899" s="1"/>
      <c r="N899" s="1"/>
      <c r="O899" s="1"/>
      <c r="P899" s="1" t="s">
        <v>21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21.75" hidden="false" customHeight="true" outlineLevel="0" collapsed="false">
      <c r="A900" s="4" t="n">
        <v>43483</v>
      </c>
      <c r="B900" s="18" t="s">
        <v>166</v>
      </c>
      <c r="C900" s="14" t="s">
        <v>15</v>
      </c>
      <c r="D900" s="14" t="s">
        <v>16</v>
      </c>
      <c r="E900" s="14" t="s">
        <v>17</v>
      </c>
      <c r="F900" s="14" t="s">
        <v>2377</v>
      </c>
      <c r="G900" s="14" t="n">
        <f aca="false">+5930983889625</f>
        <v>5930983889625</v>
      </c>
      <c r="H900" s="14" t="s">
        <v>2378</v>
      </c>
      <c r="I900" s="14"/>
      <c r="J900" s="1"/>
      <c r="K900" s="1" t="s">
        <v>21</v>
      </c>
      <c r="L900" s="1"/>
      <c r="M900" s="1"/>
      <c r="N900" s="1"/>
      <c r="O900" s="1"/>
      <c r="P900" s="1" t="s">
        <v>21</v>
      </c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21.75" hidden="false" customHeight="true" outlineLevel="0" collapsed="false">
      <c r="A901" s="4" t="n">
        <v>43483</v>
      </c>
      <c r="B901" s="18" t="s">
        <v>166</v>
      </c>
      <c r="C901" s="14" t="s">
        <v>15</v>
      </c>
      <c r="D901" s="14" t="s">
        <v>16</v>
      </c>
      <c r="E901" s="14" t="s">
        <v>17</v>
      </c>
      <c r="F901" s="14" t="s">
        <v>2379</v>
      </c>
      <c r="G901" s="14" t="n">
        <f aca="false">+593999387705</f>
        <v>593999387705</v>
      </c>
      <c r="H901" s="14" t="s">
        <v>2380</v>
      </c>
      <c r="I901" s="14"/>
      <c r="J901" s="1"/>
      <c r="K901" s="1" t="s">
        <v>21</v>
      </c>
      <c r="L901" s="1"/>
      <c r="M901" s="1"/>
      <c r="N901" s="1"/>
      <c r="O901" s="1"/>
      <c r="P901" s="1" t="s">
        <v>21</v>
      </c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21.75" hidden="false" customHeight="true" outlineLevel="0" collapsed="false">
      <c r="A902" s="4" t="n">
        <v>43483</v>
      </c>
      <c r="B902" s="18" t="s">
        <v>166</v>
      </c>
      <c r="C902" s="14" t="s">
        <v>15</v>
      </c>
      <c r="D902" s="14" t="s">
        <v>16</v>
      </c>
      <c r="E902" s="14" t="s">
        <v>17</v>
      </c>
      <c r="F902" s="14" t="s">
        <v>2381</v>
      </c>
      <c r="G902" s="14" t="n">
        <f aca="false">+593992859353</f>
        <v>593992859353</v>
      </c>
      <c r="H902" s="14" t="s">
        <v>2382</v>
      </c>
      <c r="I902" s="14"/>
      <c r="J902" s="1"/>
      <c r="K902" s="1" t="s">
        <v>2383</v>
      </c>
      <c r="L902" s="1"/>
      <c r="M902" s="1"/>
      <c r="N902" s="1"/>
      <c r="O902" s="1"/>
      <c r="P902" s="6" t="s">
        <v>133</v>
      </c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21.75" hidden="false" customHeight="true" outlineLevel="0" collapsed="false">
      <c r="A903" s="4" t="n">
        <v>43483</v>
      </c>
      <c r="B903" s="18" t="s">
        <v>166</v>
      </c>
      <c r="C903" s="14" t="s">
        <v>15</v>
      </c>
      <c r="D903" s="14" t="s">
        <v>16</v>
      </c>
      <c r="E903" s="14" t="s">
        <v>17</v>
      </c>
      <c r="F903" s="14" t="s">
        <v>2384</v>
      </c>
      <c r="G903" s="14" t="n">
        <f aca="false">+593968148638</f>
        <v>593968148638</v>
      </c>
      <c r="H903" s="14" t="s">
        <v>2385</v>
      </c>
      <c r="I903" s="14"/>
      <c r="J903" s="1"/>
      <c r="K903" s="1" t="s">
        <v>2386</v>
      </c>
      <c r="L903" s="1"/>
      <c r="M903" s="1"/>
      <c r="N903" s="1"/>
      <c r="O903" s="1"/>
      <c r="P903" s="6" t="s">
        <v>133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21.75" hidden="false" customHeight="true" outlineLevel="0" collapsed="false">
      <c r="A904" s="4" t="n">
        <v>43483</v>
      </c>
      <c r="B904" s="18" t="s">
        <v>166</v>
      </c>
      <c r="C904" s="14" t="s">
        <v>15</v>
      </c>
      <c r="D904" s="14" t="s">
        <v>16</v>
      </c>
      <c r="E904" s="14" t="s">
        <v>17</v>
      </c>
      <c r="F904" s="14" t="s">
        <v>2387</v>
      </c>
      <c r="G904" s="14" t="n">
        <f aca="false">+593979735335</f>
        <v>593979735335</v>
      </c>
      <c r="H904" s="14" t="s">
        <v>2388</v>
      </c>
      <c r="I904" s="14"/>
      <c r="J904" s="1"/>
      <c r="K904" s="1" t="s">
        <v>21</v>
      </c>
      <c r="L904" s="1"/>
      <c r="M904" s="1"/>
      <c r="N904" s="1"/>
      <c r="O904" s="1"/>
      <c r="P904" s="1" t="s">
        <v>21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21.75" hidden="false" customHeight="true" outlineLevel="0" collapsed="false">
      <c r="A905" s="4" t="n">
        <v>43483</v>
      </c>
      <c r="B905" s="18" t="s">
        <v>166</v>
      </c>
      <c r="C905" s="14" t="s">
        <v>15</v>
      </c>
      <c r="D905" s="14" t="s">
        <v>16</v>
      </c>
      <c r="E905" s="14" t="s">
        <v>17</v>
      </c>
      <c r="F905" s="19" t="s">
        <v>2389</v>
      </c>
      <c r="G905" s="18" t="n">
        <v>994052949</v>
      </c>
      <c r="H905" s="18" t="s">
        <v>2390</v>
      </c>
      <c r="I905" s="18"/>
      <c r="J905" s="1"/>
      <c r="K905" s="1" t="s">
        <v>2391</v>
      </c>
      <c r="L905" s="1"/>
      <c r="M905" s="1"/>
      <c r="N905" s="1"/>
      <c r="O905" s="1"/>
      <c r="P905" s="6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21.75" hidden="false" customHeight="true" outlineLevel="0" collapsed="false">
      <c r="A906" s="4" t="n">
        <v>43483</v>
      </c>
      <c r="B906" s="14" t="s">
        <v>323</v>
      </c>
      <c r="C906" s="14" t="s">
        <v>15</v>
      </c>
      <c r="D906" s="14" t="s">
        <v>43</v>
      </c>
      <c r="E906" s="14" t="s">
        <v>109</v>
      </c>
      <c r="F906" s="14" t="s">
        <v>2392</v>
      </c>
      <c r="G906" s="14" t="n">
        <f aca="false">+593980812553</f>
        <v>593980812553</v>
      </c>
      <c r="H906" s="14" t="s">
        <v>2393</v>
      </c>
      <c r="I906" s="14"/>
      <c r="J906" s="1"/>
      <c r="K906" s="1" t="s">
        <v>2394</v>
      </c>
      <c r="L906" s="1"/>
      <c r="M906" s="1"/>
      <c r="N906" s="1"/>
      <c r="O906" s="1"/>
      <c r="P906" s="6" t="s">
        <v>133</v>
      </c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21.75" hidden="false" customHeight="true" outlineLevel="0" collapsed="false">
      <c r="A907" s="4" t="n">
        <v>43483</v>
      </c>
      <c r="B907" s="14" t="s">
        <v>323</v>
      </c>
      <c r="C907" s="14" t="s">
        <v>15</v>
      </c>
      <c r="D907" s="14" t="s">
        <v>43</v>
      </c>
      <c r="E907" s="14" t="s">
        <v>109</v>
      </c>
      <c r="F907" s="14" t="s">
        <v>2395</v>
      </c>
      <c r="G907" s="14" t="n">
        <f aca="false">+593996576035</f>
        <v>593996576035</v>
      </c>
      <c r="H907" s="14" t="s">
        <v>2396</v>
      </c>
      <c r="I907" s="14"/>
      <c r="J907" s="1"/>
      <c r="K907" s="1" t="s">
        <v>21</v>
      </c>
      <c r="L907" s="1"/>
      <c r="M907" s="1"/>
      <c r="N907" s="1"/>
      <c r="O907" s="1"/>
      <c r="P907" s="6" t="s">
        <v>21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21.75" hidden="false" customHeight="true" outlineLevel="0" collapsed="false">
      <c r="A908" s="4" t="n">
        <v>43483</v>
      </c>
      <c r="B908" s="14" t="s">
        <v>323</v>
      </c>
      <c r="C908" s="14" t="s">
        <v>15</v>
      </c>
      <c r="D908" s="14" t="s">
        <v>43</v>
      </c>
      <c r="E908" s="14" t="s">
        <v>109</v>
      </c>
      <c r="F908" s="14" t="s">
        <v>2397</v>
      </c>
      <c r="G908" s="14" t="n">
        <f aca="false">+593959452877</f>
        <v>593959452877</v>
      </c>
      <c r="H908" s="14" t="s">
        <v>2398</v>
      </c>
      <c r="I908" s="14"/>
      <c r="J908" s="1"/>
      <c r="K908" s="1" t="s">
        <v>2399</v>
      </c>
      <c r="L908" s="1"/>
      <c r="M908" s="1"/>
      <c r="N908" s="1"/>
      <c r="O908" s="1"/>
      <c r="P908" s="6" t="s">
        <v>133</v>
      </c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21.75" hidden="false" customHeight="true" outlineLevel="0" collapsed="false">
      <c r="A909" s="4" t="n">
        <v>43483</v>
      </c>
      <c r="B909" s="14" t="s">
        <v>323</v>
      </c>
      <c r="C909" s="14" t="s">
        <v>15</v>
      </c>
      <c r="D909" s="14" t="s">
        <v>43</v>
      </c>
      <c r="E909" s="14" t="s">
        <v>109</v>
      </c>
      <c r="F909" s="14" t="s">
        <v>2400</v>
      </c>
      <c r="G909" s="14" t="n">
        <f aca="false">+593981873427</f>
        <v>593981873427</v>
      </c>
      <c r="H909" s="14" t="s">
        <v>2401</v>
      </c>
      <c r="I909" s="14"/>
      <c r="J909" s="1"/>
      <c r="K909" s="1" t="s">
        <v>21</v>
      </c>
      <c r="L909" s="1"/>
      <c r="M909" s="1"/>
      <c r="N909" s="1"/>
      <c r="O909" s="1"/>
      <c r="P909" s="6" t="s">
        <v>58</v>
      </c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21.75" hidden="false" customHeight="true" outlineLevel="0" collapsed="false">
      <c r="A910" s="4" t="n">
        <v>43483</v>
      </c>
      <c r="B910" s="14" t="s">
        <v>1106</v>
      </c>
      <c r="C910" s="14" t="s">
        <v>15</v>
      </c>
      <c r="D910" s="14" t="s">
        <v>43</v>
      </c>
      <c r="E910" s="14" t="s">
        <v>109</v>
      </c>
      <c r="F910" s="14" t="s">
        <v>2402</v>
      </c>
      <c r="G910" s="14" t="n">
        <f aca="false">+5930978607444</f>
        <v>5930978607444</v>
      </c>
      <c r="H910" s="14" t="s">
        <v>2403</v>
      </c>
      <c r="I910" s="14"/>
      <c r="J910" s="1"/>
      <c r="K910" s="1" t="s">
        <v>21</v>
      </c>
      <c r="L910" s="1"/>
      <c r="M910" s="1"/>
      <c r="N910" s="1"/>
      <c r="O910" s="1"/>
      <c r="P910" s="6" t="s">
        <v>58</v>
      </c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21.75" hidden="false" customHeight="true" outlineLevel="0" collapsed="false">
      <c r="A911" s="4" t="n">
        <v>43483</v>
      </c>
      <c r="B911" s="18" t="s">
        <v>1106</v>
      </c>
      <c r="C911" s="14" t="s">
        <v>15</v>
      </c>
      <c r="D911" s="14" t="s">
        <v>43</v>
      </c>
      <c r="E911" s="14" t="s">
        <v>109</v>
      </c>
      <c r="F911" s="19" t="s">
        <v>2404</v>
      </c>
      <c r="G911" s="18" t="n">
        <v>980810503</v>
      </c>
      <c r="H911" s="18" t="s">
        <v>2405</v>
      </c>
      <c r="I911" s="18"/>
      <c r="J911" s="1"/>
      <c r="K911" s="1" t="s">
        <v>1857</v>
      </c>
      <c r="L911" s="1"/>
      <c r="M911" s="1"/>
      <c r="N911" s="1"/>
      <c r="O911" s="1"/>
      <c r="P911" s="6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21.75" hidden="false" customHeight="true" outlineLevel="0" collapsed="false">
      <c r="A912" s="4" t="n">
        <v>43483</v>
      </c>
      <c r="B912" s="14" t="s">
        <v>1831</v>
      </c>
      <c r="C912" s="14" t="s">
        <v>15</v>
      </c>
      <c r="D912" s="14" t="s">
        <v>43</v>
      </c>
      <c r="E912" s="14" t="s">
        <v>109</v>
      </c>
      <c r="F912" s="14" t="s">
        <v>2406</v>
      </c>
      <c r="G912" s="14" t="n">
        <f aca="false">+593967471357</f>
        <v>593967471357</v>
      </c>
      <c r="H912" s="14" t="s">
        <v>2407</v>
      </c>
      <c r="I912" s="14"/>
      <c r="J912" s="1"/>
      <c r="K912" s="1" t="s">
        <v>21</v>
      </c>
      <c r="L912" s="1"/>
      <c r="M912" s="1"/>
      <c r="N912" s="1"/>
      <c r="O912" s="1"/>
      <c r="P912" s="6" t="s">
        <v>21</v>
      </c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21.75" hidden="false" customHeight="true" outlineLevel="0" collapsed="false">
      <c r="A913" s="4" t="n">
        <v>43483</v>
      </c>
      <c r="B913" s="18" t="s">
        <v>108</v>
      </c>
      <c r="C913" s="14" t="s">
        <v>15</v>
      </c>
      <c r="D913" s="14" t="s">
        <v>16</v>
      </c>
      <c r="E913" s="5" t="s">
        <v>109</v>
      </c>
      <c r="F913" s="14" t="s">
        <v>2408</v>
      </c>
      <c r="G913" s="14" t="n">
        <f aca="false">+593999301327</f>
        <v>593999301327</v>
      </c>
      <c r="H913" s="14" t="s">
        <v>2409</v>
      </c>
      <c r="I913" s="14"/>
      <c r="J913" s="1"/>
      <c r="K913" s="1" t="s">
        <v>21</v>
      </c>
      <c r="L913" s="1"/>
      <c r="M913" s="1"/>
      <c r="N913" s="1"/>
      <c r="O913" s="1"/>
      <c r="P913" s="1" t="s">
        <v>21</v>
      </c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21.75" hidden="false" customHeight="true" outlineLevel="0" collapsed="false">
      <c r="A914" s="4" t="n">
        <v>43483</v>
      </c>
      <c r="B914" s="14" t="s">
        <v>108</v>
      </c>
      <c r="C914" s="14" t="s">
        <v>15</v>
      </c>
      <c r="D914" s="14" t="s">
        <v>16</v>
      </c>
      <c r="E914" s="5" t="s">
        <v>109</v>
      </c>
      <c r="F914" s="14" t="s">
        <v>2410</v>
      </c>
      <c r="G914" s="14" t="n">
        <f aca="false">+593980640783</f>
        <v>593980640783</v>
      </c>
      <c r="H914" s="14" t="s">
        <v>2411</v>
      </c>
      <c r="I914" s="14"/>
      <c r="J914" s="1"/>
      <c r="K914" s="1" t="s">
        <v>21</v>
      </c>
      <c r="L914" s="1"/>
      <c r="M914" s="1"/>
      <c r="N914" s="1"/>
      <c r="O914" s="1"/>
      <c r="P914" s="1" t="s">
        <v>21</v>
      </c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21.75" hidden="false" customHeight="true" outlineLevel="0" collapsed="false">
      <c r="A915" s="4" t="n">
        <v>43483</v>
      </c>
      <c r="B915" s="18" t="s">
        <v>48</v>
      </c>
      <c r="C915" s="14" t="s">
        <v>15</v>
      </c>
      <c r="D915" s="14" t="s">
        <v>43</v>
      </c>
      <c r="E915" s="14" t="s">
        <v>44</v>
      </c>
      <c r="F915" s="14" t="s">
        <v>2412</v>
      </c>
      <c r="G915" s="14" t="n">
        <f aca="false">+34639217085</f>
        <v>34639217085</v>
      </c>
      <c r="H915" s="14" t="s">
        <v>2413</v>
      </c>
      <c r="I915" s="14"/>
      <c r="J915" s="1"/>
      <c r="K915" s="1" t="s">
        <v>294</v>
      </c>
      <c r="L915" s="1"/>
      <c r="M915" s="1"/>
      <c r="N915" s="1"/>
      <c r="O915" s="1"/>
      <c r="P915" s="1" t="s">
        <v>294</v>
      </c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21.75" hidden="false" customHeight="true" outlineLevel="0" collapsed="false">
      <c r="A916" s="4" t="n">
        <v>43483</v>
      </c>
      <c r="B916" s="18" t="s">
        <v>48</v>
      </c>
      <c r="C916" s="14" t="s">
        <v>15</v>
      </c>
      <c r="D916" s="14" t="s">
        <v>43</v>
      </c>
      <c r="E916" s="14" t="s">
        <v>44</v>
      </c>
      <c r="F916" s="14" t="s">
        <v>2414</v>
      </c>
      <c r="G916" s="14" t="n">
        <f aca="false">+593998525800</f>
        <v>593998525800</v>
      </c>
      <c r="H916" s="14" t="s">
        <v>2415</v>
      </c>
      <c r="I916" s="14"/>
      <c r="J916" s="1"/>
      <c r="K916" s="1" t="s">
        <v>2416</v>
      </c>
      <c r="L916" s="1"/>
      <c r="M916" s="1"/>
      <c r="N916" s="1"/>
      <c r="O916" s="1"/>
      <c r="P916" s="6" t="s">
        <v>133</v>
      </c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21.75" hidden="false" customHeight="true" outlineLevel="0" collapsed="false">
      <c r="A917" s="4" t="n">
        <v>43483</v>
      </c>
      <c r="B917" s="18" t="s">
        <v>48</v>
      </c>
      <c r="C917" s="14" t="s">
        <v>15</v>
      </c>
      <c r="D917" s="14" t="s">
        <v>43</v>
      </c>
      <c r="E917" s="14" t="s">
        <v>44</v>
      </c>
      <c r="F917" s="14" t="s">
        <v>2417</v>
      </c>
      <c r="G917" s="14" t="n">
        <f aca="false">+593967157710</f>
        <v>593967157710</v>
      </c>
      <c r="H917" s="14" t="s">
        <v>2418</v>
      </c>
      <c r="I917" s="14"/>
      <c r="J917" s="1"/>
      <c r="K917" s="1" t="s">
        <v>21</v>
      </c>
      <c r="L917" s="1"/>
      <c r="M917" s="1"/>
      <c r="N917" s="1"/>
      <c r="O917" s="1"/>
      <c r="P917" s="1" t="s">
        <v>21</v>
      </c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21.75" hidden="false" customHeight="true" outlineLevel="0" collapsed="false">
      <c r="A918" s="4" t="n">
        <v>43483</v>
      </c>
      <c r="B918" s="18" t="s">
        <v>48</v>
      </c>
      <c r="C918" s="14" t="s">
        <v>15</v>
      </c>
      <c r="D918" s="14" t="s">
        <v>43</v>
      </c>
      <c r="E918" s="14" t="s">
        <v>44</v>
      </c>
      <c r="F918" s="14" t="s">
        <v>2419</v>
      </c>
      <c r="G918" s="14" t="n">
        <f aca="false">+5930979981768</f>
        <v>5930979981768</v>
      </c>
      <c r="H918" s="14" t="s">
        <v>2420</v>
      </c>
      <c r="I918" s="14"/>
      <c r="J918" s="1"/>
      <c r="K918" s="1" t="s">
        <v>21</v>
      </c>
      <c r="L918" s="1"/>
      <c r="M918" s="1"/>
      <c r="N918" s="1"/>
      <c r="O918" s="1"/>
      <c r="P918" s="1" t="s">
        <v>21</v>
      </c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21.75" hidden="false" customHeight="true" outlineLevel="0" collapsed="false">
      <c r="A919" s="4" t="n">
        <v>43483</v>
      </c>
      <c r="B919" s="14" t="s">
        <v>48</v>
      </c>
      <c r="C919" s="14" t="s">
        <v>15</v>
      </c>
      <c r="D919" s="14" t="s">
        <v>43</v>
      </c>
      <c r="E919" s="14" t="s">
        <v>109</v>
      </c>
      <c r="F919" s="14" t="s">
        <v>2421</v>
      </c>
      <c r="G919" s="14" t="n">
        <f aca="false">+5930959999497</f>
        <v>5930959999497</v>
      </c>
      <c r="H919" s="14" t="s">
        <v>2422</v>
      </c>
      <c r="I919" s="14"/>
      <c r="J919" s="1"/>
      <c r="K919" s="1" t="s">
        <v>21</v>
      </c>
      <c r="L919" s="1"/>
      <c r="M919" s="1"/>
      <c r="N919" s="1"/>
      <c r="O919" s="1"/>
      <c r="P919" s="6" t="s">
        <v>21</v>
      </c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21.75" hidden="false" customHeight="true" outlineLevel="0" collapsed="false">
      <c r="A920" s="4" t="n">
        <v>43483</v>
      </c>
      <c r="B920" s="14" t="s">
        <v>48</v>
      </c>
      <c r="C920" s="14" t="s">
        <v>15</v>
      </c>
      <c r="D920" s="14" t="s">
        <v>43</v>
      </c>
      <c r="E920" s="14" t="s">
        <v>109</v>
      </c>
      <c r="F920" s="14" t="s">
        <v>2423</v>
      </c>
      <c r="G920" s="14" t="n">
        <f aca="false">+5930979308961</f>
        <v>5930979308961</v>
      </c>
      <c r="H920" s="14" t="s">
        <v>2424</v>
      </c>
      <c r="I920" s="14"/>
      <c r="J920" s="1"/>
      <c r="K920" s="1" t="s">
        <v>21</v>
      </c>
      <c r="L920" s="1"/>
      <c r="M920" s="1"/>
      <c r="N920" s="1"/>
      <c r="O920" s="1"/>
      <c r="P920" s="6" t="s">
        <v>21</v>
      </c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21.75" hidden="false" customHeight="true" outlineLevel="0" collapsed="false">
      <c r="A921" s="4" t="n">
        <v>43483</v>
      </c>
      <c r="B921" s="14" t="s">
        <v>48</v>
      </c>
      <c r="C921" s="14" t="s">
        <v>15</v>
      </c>
      <c r="D921" s="14" t="s">
        <v>43</v>
      </c>
      <c r="E921" s="14" t="s">
        <v>109</v>
      </c>
      <c r="F921" s="14" t="s">
        <v>2425</v>
      </c>
      <c r="G921" s="14" t="n">
        <f aca="false">+5930998719012</f>
        <v>5930998719012</v>
      </c>
      <c r="H921" s="14" t="s">
        <v>2426</v>
      </c>
      <c r="I921" s="14"/>
      <c r="J921" s="1"/>
      <c r="K921" s="1" t="s">
        <v>2427</v>
      </c>
      <c r="L921" s="1"/>
      <c r="M921" s="1"/>
      <c r="N921" s="1"/>
      <c r="O921" s="1"/>
      <c r="P921" s="6" t="s">
        <v>133</v>
      </c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21.75" hidden="false" customHeight="true" outlineLevel="0" collapsed="false">
      <c r="A922" s="4" t="n">
        <v>43483</v>
      </c>
      <c r="B922" s="14" t="s">
        <v>48</v>
      </c>
      <c r="C922" s="14" t="s">
        <v>15</v>
      </c>
      <c r="D922" s="14" t="s">
        <v>43</v>
      </c>
      <c r="E922" s="14" t="s">
        <v>109</v>
      </c>
      <c r="F922" s="14" t="s">
        <v>2428</v>
      </c>
      <c r="G922" s="14" t="n">
        <f aca="false">+593985202159</f>
        <v>593985202159</v>
      </c>
      <c r="H922" s="14" t="s">
        <v>2429</v>
      </c>
      <c r="I922" s="14"/>
      <c r="J922" s="1"/>
      <c r="K922" s="1" t="s">
        <v>21</v>
      </c>
      <c r="L922" s="1"/>
      <c r="M922" s="1"/>
      <c r="N922" s="1"/>
      <c r="O922" s="1"/>
      <c r="P922" s="6" t="s">
        <v>21</v>
      </c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21.75" hidden="false" customHeight="true" outlineLevel="0" collapsed="false">
      <c r="A923" s="4" t="n">
        <v>43483</v>
      </c>
      <c r="B923" s="14" t="s">
        <v>48</v>
      </c>
      <c r="C923" s="14" t="s">
        <v>15</v>
      </c>
      <c r="D923" s="14" t="s">
        <v>43</v>
      </c>
      <c r="E923" s="14" t="s">
        <v>109</v>
      </c>
      <c r="F923" s="14" t="s">
        <v>2430</v>
      </c>
      <c r="G923" s="14" t="n">
        <f aca="false">+5930985762561</f>
        <v>5930985762561</v>
      </c>
      <c r="H923" s="14" t="s">
        <v>2431</v>
      </c>
      <c r="I923" s="14"/>
      <c r="J923" s="1"/>
      <c r="K923" s="1" t="s">
        <v>21</v>
      </c>
      <c r="L923" s="1"/>
      <c r="M923" s="1"/>
      <c r="N923" s="1"/>
      <c r="O923" s="1"/>
      <c r="P923" s="6" t="s">
        <v>21</v>
      </c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21.75" hidden="false" customHeight="true" outlineLevel="0" collapsed="false">
      <c r="A924" s="4" t="n">
        <v>43483</v>
      </c>
      <c r="B924" s="14" t="s">
        <v>48</v>
      </c>
      <c r="C924" s="14" t="s">
        <v>15</v>
      </c>
      <c r="D924" s="14" t="s">
        <v>43</v>
      </c>
      <c r="E924" s="14" t="s">
        <v>109</v>
      </c>
      <c r="F924" s="14" t="s">
        <v>2432</v>
      </c>
      <c r="G924" s="14" t="n">
        <f aca="false">+593986335398</f>
        <v>593986335398</v>
      </c>
      <c r="H924" s="14" t="s">
        <v>2433</v>
      </c>
      <c r="I924" s="14"/>
      <c r="J924" s="1"/>
      <c r="K924" s="1" t="s">
        <v>21</v>
      </c>
      <c r="L924" s="1"/>
      <c r="M924" s="1"/>
      <c r="N924" s="1"/>
      <c r="O924" s="1"/>
      <c r="P924" s="6" t="s">
        <v>21</v>
      </c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21.75" hidden="false" customHeight="true" outlineLevel="0" collapsed="false">
      <c r="A925" s="4" t="n">
        <v>43483</v>
      </c>
      <c r="B925" s="14" t="s">
        <v>48</v>
      </c>
      <c r="C925" s="14" t="s">
        <v>15</v>
      </c>
      <c r="D925" s="14" t="s">
        <v>43</v>
      </c>
      <c r="E925" s="14" t="s">
        <v>109</v>
      </c>
      <c r="F925" s="14" t="s">
        <v>2434</v>
      </c>
      <c r="G925" s="14" t="n">
        <v>969560080</v>
      </c>
      <c r="H925" s="14" t="s">
        <v>2435</v>
      </c>
      <c r="I925" s="14"/>
      <c r="J925" s="1"/>
      <c r="K925" s="1" t="s">
        <v>2436</v>
      </c>
      <c r="L925" s="1"/>
      <c r="M925" s="1"/>
      <c r="N925" s="1"/>
      <c r="O925" s="1"/>
      <c r="P925" s="6" t="s">
        <v>133</v>
      </c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21.75" hidden="false" customHeight="true" outlineLevel="0" collapsed="false">
      <c r="A926" s="4" t="n">
        <v>43483</v>
      </c>
      <c r="B926" s="14" t="s">
        <v>48</v>
      </c>
      <c r="C926" s="14" t="s">
        <v>15</v>
      </c>
      <c r="D926" s="14" t="s">
        <v>43</v>
      </c>
      <c r="E926" s="14" t="s">
        <v>109</v>
      </c>
      <c r="F926" s="14" t="s">
        <v>2437</v>
      </c>
      <c r="G926" s="14" t="n">
        <f aca="false">+593996807345</f>
        <v>593996807345</v>
      </c>
      <c r="H926" s="14" t="s">
        <v>2438</v>
      </c>
      <c r="I926" s="14"/>
      <c r="J926" s="1"/>
      <c r="K926" s="1" t="s">
        <v>21</v>
      </c>
      <c r="L926" s="1"/>
      <c r="M926" s="1"/>
      <c r="N926" s="1"/>
      <c r="O926" s="1"/>
      <c r="P926" s="6" t="s">
        <v>58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21.75" hidden="false" customHeight="true" outlineLevel="0" collapsed="false">
      <c r="A927" s="4" t="n">
        <v>43483</v>
      </c>
      <c r="B927" s="14" t="s">
        <v>48</v>
      </c>
      <c r="C927" s="14" t="s">
        <v>15</v>
      </c>
      <c r="D927" s="14" t="s">
        <v>43</v>
      </c>
      <c r="E927" s="14" t="s">
        <v>109</v>
      </c>
      <c r="F927" s="14" t="s">
        <v>2439</v>
      </c>
      <c r="G927" s="14" t="n">
        <f aca="false">+5930979851306</f>
        <v>5930979851306</v>
      </c>
      <c r="H927" s="14" t="s">
        <v>2440</v>
      </c>
      <c r="I927" s="14"/>
      <c r="J927" s="1"/>
      <c r="K927" s="1" t="s">
        <v>21</v>
      </c>
      <c r="L927" s="1"/>
      <c r="M927" s="1"/>
      <c r="N927" s="1"/>
      <c r="O927" s="1"/>
      <c r="P927" s="6" t="s">
        <v>58</v>
      </c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21.75" hidden="false" customHeight="true" outlineLevel="0" collapsed="false">
      <c r="A928" s="4" t="n">
        <v>43483</v>
      </c>
      <c r="B928" s="14" t="s">
        <v>48</v>
      </c>
      <c r="C928" s="14" t="s">
        <v>15</v>
      </c>
      <c r="D928" s="14" t="s">
        <v>43</v>
      </c>
      <c r="E928" s="14" t="s">
        <v>109</v>
      </c>
      <c r="F928" s="14" t="s">
        <v>2441</v>
      </c>
      <c r="G928" s="14" t="n">
        <f aca="false">+593968604899</f>
        <v>593968604899</v>
      </c>
      <c r="H928" s="14" t="s">
        <v>2442</v>
      </c>
      <c r="I928" s="14"/>
      <c r="J928" s="1"/>
      <c r="K928" s="1" t="s">
        <v>2443</v>
      </c>
      <c r="L928" s="1"/>
      <c r="M928" s="1"/>
      <c r="N928" s="1"/>
      <c r="O928" s="1"/>
      <c r="P928" s="6" t="s">
        <v>133</v>
      </c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21.75" hidden="false" customHeight="true" outlineLevel="0" collapsed="false">
      <c r="A929" s="4" t="n">
        <v>43483</v>
      </c>
      <c r="B929" s="14" t="s">
        <v>48</v>
      </c>
      <c r="C929" s="14" t="s">
        <v>15</v>
      </c>
      <c r="D929" s="14" t="s">
        <v>43</v>
      </c>
      <c r="E929" s="14" t="s">
        <v>109</v>
      </c>
      <c r="F929" s="14" t="s">
        <v>2444</v>
      </c>
      <c r="G929" s="14" t="n">
        <f aca="false">+593989424550</f>
        <v>593989424550</v>
      </c>
      <c r="H929" s="14" t="s">
        <v>2445</v>
      </c>
      <c r="I929" s="14"/>
      <c r="J929" s="1"/>
      <c r="K929" s="1" t="s">
        <v>2446</v>
      </c>
      <c r="L929" s="1"/>
      <c r="M929" s="1"/>
      <c r="N929" s="1"/>
      <c r="O929" s="1"/>
      <c r="P929" s="6" t="s">
        <v>751</v>
      </c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21.75" hidden="false" customHeight="true" outlineLevel="0" collapsed="false">
      <c r="A930" s="4" t="n">
        <v>43483</v>
      </c>
      <c r="B930" s="14" t="s">
        <v>48</v>
      </c>
      <c r="C930" s="14" t="s">
        <v>15</v>
      </c>
      <c r="D930" s="14" t="s">
        <v>43</v>
      </c>
      <c r="E930" s="14" t="s">
        <v>109</v>
      </c>
      <c r="F930" s="14" t="s">
        <v>2447</v>
      </c>
      <c r="G930" s="14" t="n">
        <f aca="false">+593986958267</f>
        <v>593986958267</v>
      </c>
      <c r="H930" s="14" t="s">
        <v>2448</v>
      </c>
      <c r="I930" s="14"/>
      <c r="J930" s="1"/>
      <c r="K930" s="1" t="s">
        <v>21</v>
      </c>
      <c r="L930" s="1"/>
      <c r="M930" s="1"/>
      <c r="N930" s="1"/>
      <c r="O930" s="1"/>
      <c r="P930" s="6" t="s">
        <v>58</v>
      </c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21.75" hidden="false" customHeight="true" outlineLevel="0" collapsed="false">
      <c r="A931" s="4" t="n">
        <v>43483</v>
      </c>
      <c r="B931" s="14" t="s">
        <v>48</v>
      </c>
      <c r="C931" s="14" t="s">
        <v>15</v>
      </c>
      <c r="D931" s="14" t="s">
        <v>43</v>
      </c>
      <c r="E931" s="14" t="s">
        <v>109</v>
      </c>
      <c r="F931" s="14" t="s">
        <v>2449</v>
      </c>
      <c r="G931" s="14" t="n">
        <v>969035193</v>
      </c>
      <c r="H931" s="14" t="s">
        <v>2450</v>
      </c>
      <c r="I931" s="14"/>
      <c r="J931" s="1"/>
      <c r="K931" s="1" t="s">
        <v>2451</v>
      </c>
      <c r="L931" s="1"/>
      <c r="M931" s="1"/>
      <c r="N931" s="1"/>
      <c r="O931" s="1"/>
      <c r="P931" s="6" t="s">
        <v>133</v>
      </c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21.75" hidden="false" customHeight="true" outlineLevel="0" collapsed="false">
      <c r="A932" s="4" t="n">
        <v>43483</v>
      </c>
      <c r="B932" s="18" t="s">
        <v>48</v>
      </c>
      <c r="C932" s="14" t="s">
        <v>15</v>
      </c>
      <c r="D932" s="14" t="s">
        <v>43</v>
      </c>
      <c r="E932" s="14" t="s">
        <v>109</v>
      </c>
      <c r="F932" s="19" t="s">
        <v>2452</v>
      </c>
      <c r="G932" s="18" t="n">
        <v>982918883</v>
      </c>
      <c r="H932" s="18" t="s">
        <v>2453</v>
      </c>
      <c r="I932" s="18"/>
      <c r="J932" s="1"/>
      <c r="K932" s="1" t="s">
        <v>21</v>
      </c>
      <c r="L932" s="1"/>
      <c r="M932" s="1"/>
      <c r="N932" s="1"/>
      <c r="O932" s="1"/>
      <c r="P932" s="6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21.75" hidden="false" customHeight="true" outlineLevel="0" collapsed="false">
      <c r="A933" s="4" t="n">
        <v>43483</v>
      </c>
      <c r="B933" s="18" t="s">
        <v>48</v>
      </c>
      <c r="C933" s="14" t="s">
        <v>15</v>
      </c>
      <c r="D933" s="14" t="s">
        <v>43</v>
      </c>
      <c r="E933" s="14" t="s">
        <v>109</v>
      </c>
      <c r="F933" s="19" t="s">
        <v>2454</v>
      </c>
      <c r="G933" s="18" t="n">
        <v>998810559</v>
      </c>
      <c r="H933" s="18" t="s">
        <v>2455</v>
      </c>
      <c r="I933" s="18"/>
      <c r="J933" s="1"/>
      <c r="K933" s="1" t="s">
        <v>21</v>
      </c>
      <c r="L933" s="1"/>
      <c r="M933" s="1"/>
      <c r="N933" s="1"/>
      <c r="O933" s="1"/>
      <c r="P933" s="6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21.75" hidden="false" customHeight="true" outlineLevel="0" collapsed="false">
      <c r="A934" s="4" t="n">
        <v>43483</v>
      </c>
      <c r="B934" s="18" t="s">
        <v>48</v>
      </c>
      <c r="C934" s="14" t="s">
        <v>15</v>
      </c>
      <c r="D934" s="14" t="s">
        <v>43</v>
      </c>
      <c r="E934" s="14" t="s">
        <v>109</v>
      </c>
      <c r="F934" s="19" t="s">
        <v>2456</v>
      </c>
      <c r="G934" s="18" t="n">
        <v>986745661</v>
      </c>
      <c r="H934" s="18" t="s">
        <v>2457</v>
      </c>
      <c r="I934" s="18"/>
      <c r="J934" s="1"/>
      <c r="K934" s="1" t="s">
        <v>860</v>
      </c>
      <c r="L934" s="1"/>
      <c r="M934" s="1"/>
      <c r="N934" s="1"/>
      <c r="O934" s="1"/>
      <c r="P934" s="6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21.75" hidden="false" customHeight="true" outlineLevel="0" collapsed="false">
      <c r="A935" s="4" t="n">
        <v>43483</v>
      </c>
      <c r="B935" s="18" t="s">
        <v>48</v>
      </c>
      <c r="C935" s="14" t="s">
        <v>15</v>
      </c>
      <c r="D935" s="14" t="s">
        <v>43</v>
      </c>
      <c r="E935" s="14" t="s">
        <v>109</v>
      </c>
      <c r="F935" s="19" t="s">
        <v>1924</v>
      </c>
      <c r="G935" s="18" t="n">
        <v>96176263</v>
      </c>
      <c r="H935" s="18" t="s">
        <v>1925</v>
      </c>
      <c r="I935" s="18"/>
      <c r="J935" s="1"/>
      <c r="K935" s="1" t="s">
        <v>21</v>
      </c>
      <c r="L935" s="1"/>
      <c r="M935" s="1"/>
      <c r="N935" s="1"/>
      <c r="O935" s="1"/>
      <c r="P935" s="6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21.75" hidden="false" customHeight="true" outlineLevel="0" collapsed="false">
      <c r="A936" s="4" t="n">
        <v>43483</v>
      </c>
      <c r="B936" s="18" t="s">
        <v>48</v>
      </c>
      <c r="C936" s="14" t="s">
        <v>15</v>
      </c>
      <c r="D936" s="14" t="s">
        <v>43</v>
      </c>
      <c r="E936" s="14" t="s">
        <v>109</v>
      </c>
      <c r="F936" s="19" t="s">
        <v>2458</v>
      </c>
      <c r="G936" s="18" t="n">
        <v>960484375</v>
      </c>
      <c r="H936" s="18" t="s">
        <v>2459</v>
      </c>
      <c r="I936" s="18"/>
      <c r="J936" s="1"/>
      <c r="K936" s="1" t="s">
        <v>21</v>
      </c>
      <c r="L936" s="1"/>
      <c r="M936" s="1"/>
      <c r="N936" s="1"/>
      <c r="O936" s="1"/>
      <c r="P936" s="6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21.75" hidden="false" customHeight="true" outlineLevel="0" collapsed="false">
      <c r="A937" s="4" t="n">
        <v>43483</v>
      </c>
      <c r="B937" s="18" t="s">
        <v>48</v>
      </c>
      <c r="C937" s="14" t="s">
        <v>15</v>
      </c>
      <c r="D937" s="14" t="s">
        <v>43</v>
      </c>
      <c r="E937" s="14" t="s">
        <v>109</v>
      </c>
      <c r="F937" s="19" t="s">
        <v>2460</v>
      </c>
      <c r="G937" s="18" t="n">
        <v>939160333</v>
      </c>
      <c r="H937" s="18" t="s">
        <v>2461</v>
      </c>
      <c r="I937" s="18"/>
      <c r="J937" s="1"/>
      <c r="K937" s="1" t="s">
        <v>1072</v>
      </c>
      <c r="L937" s="1"/>
      <c r="M937" s="1"/>
      <c r="N937" s="1"/>
      <c r="O937" s="1"/>
      <c r="P937" s="6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21.75" hidden="false" customHeight="true" outlineLevel="0" collapsed="false">
      <c r="A938" s="4" t="n">
        <v>43483</v>
      </c>
      <c r="B938" s="18" t="s">
        <v>48</v>
      </c>
      <c r="C938" s="14" t="s">
        <v>15</v>
      </c>
      <c r="D938" s="14" t="s">
        <v>43</v>
      </c>
      <c r="E938" s="14" t="s">
        <v>109</v>
      </c>
      <c r="F938" s="19" t="s">
        <v>2462</v>
      </c>
      <c r="G938" s="18" t="n">
        <v>983868191</v>
      </c>
      <c r="H938" s="18" t="s">
        <v>2463</v>
      </c>
      <c r="I938" s="18"/>
      <c r="J938" s="1"/>
      <c r="K938" s="1" t="s">
        <v>21</v>
      </c>
      <c r="L938" s="1"/>
      <c r="M938" s="1"/>
      <c r="N938" s="1"/>
      <c r="O938" s="1"/>
      <c r="P938" s="6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21.75" hidden="false" customHeight="true" outlineLevel="0" collapsed="false">
      <c r="A939" s="4" t="n">
        <v>43483</v>
      </c>
      <c r="B939" s="18" t="s">
        <v>48</v>
      </c>
      <c r="C939" s="14" t="s">
        <v>15</v>
      </c>
      <c r="D939" s="14" t="s">
        <v>43</v>
      </c>
      <c r="E939" s="14" t="s">
        <v>109</v>
      </c>
      <c r="F939" s="19" t="s">
        <v>2464</v>
      </c>
      <c r="G939" s="18" t="n">
        <v>985318123</v>
      </c>
      <c r="H939" s="18" t="s">
        <v>2465</v>
      </c>
      <c r="I939" s="18"/>
      <c r="J939" s="1"/>
      <c r="K939" s="1" t="s">
        <v>21</v>
      </c>
      <c r="L939" s="1"/>
      <c r="M939" s="1"/>
      <c r="N939" s="1"/>
      <c r="O939" s="1"/>
      <c r="P939" s="6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21.75" hidden="false" customHeight="true" outlineLevel="0" collapsed="false">
      <c r="A940" s="4" t="n">
        <v>43483</v>
      </c>
      <c r="B940" s="18" t="s">
        <v>48</v>
      </c>
      <c r="C940" s="14" t="s">
        <v>15</v>
      </c>
      <c r="D940" s="14" t="s">
        <v>43</v>
      </c>
      <c r="E940" s="14" t="s">
        <v>109</v>
      </c>
      <c r="F940" s="19" t="s">
        <v>2466</v>
      </c>
      <c r="G940" s="18" t="n">
        <v>982953460</v>
      </c>
      <c r="H940" s="18" t="s">
        <v>2467</v>
      </c>
      <c r="I940" s="18"/>
      <c r="J940" s="1"/>
      <c r="K940" s="1" t="s">
        <v>1065</v>
      </c>
      <c r="L940" s="1"/>
      <c r="M940" s="1"/>
      <c r="N940" s="1"/>
      <c r="O940" s="1"/>
      <c r="P940" s="6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21.75" hidden="false" customHeight="true" outlineLevel="0" collapsed="false">
      <c r="A941" s="4" t="n">
        <v>43483</v>
      </c>
      <c r="B941" s="14" t="s">
        <v>532</v>
      </c>
      <c r="C941" s="14" t="s">
        <v>15</v>
      </c>
      <c r="D941" s="14" t="s">
        <v>43</v>
      </c>
      <c r="E941" s="14" t="s">
        <v>109</v>
      </c>
      <c r="F941" s="14" t="s">
        <v>2468</v>
      </c>
      <c r="G941" s="14" t="n">
        <f aca="false">+5930985764231</f>
        <v>5930985764231</v>
      </c>
      <c r="H941" s="14" t="s">
        <v>2469</v>
      </c>
      <c r="I941" s="14"/>
      <c r="J941" s="1"/>
      <c r="K941" s="1" t="s">
        <v>2470</v>
      </c>
      <c r="L941" s="1"/>
      <c r="M941" s="1"/>
      <c r="N941" s="1"/>
      <c r="O941" s="1"/>
      <c r="P941" s="6" t="s">
        <v>31</v>
      </c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21.75" hidden="false" customHeight="true" outlineLevel="0" collapsed="false">
      <c r="A942" s="4" t="n">
        <v>43483</v>
      </c>
      <c r="B942" s="14" t="s">
        <v>532</v>
      </c>
      <c r="C942" s="14" t="s">
        <v>15</v>
      </c>
      <c r="D942" s="14" t="s">
        <v>43</v>
      </c>
      <c r="E942" s="14" t="s">
        <v>109</v>
      </c>
      <c r="F942" s="14" t="s">
        <v>2471</v>
      </c>
      <c r="G942" s="14" t="n">
        <v>994195311</v>
      </c>
      <c r="H942" s="14" t="s">
        <v>2472</v>
      </c>
      <c r="I942" s="14"/>
      <c r="J942" s="1"/>
      <c r="K942" s="1" t="s">
        <v>678</v>
      </c>
      <c r="L942" s="1"/>
      <c r="M942" s="1"/>
      <c r="N942" s="1"/>
      <c r="O942" s="1"/>
      <c r="P942" s="6" t="s">
        <v>133</v>
      </c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21.75" hidden="false" customHeight="true" outlineLevel="0" collapsed="false">
      <c r="A943" s="4" t="n">
        <v>43483</v>
      </c>
      <c r="B943" s="18" t="s">
        <v>532</v>
      </c>
      <c r="C943" s="14" t="s">
        <v>15</v>
      </c>
      <c r="D943" s="14" t="s">
        <v>43</v>
      </c>
      <c r="E943" s="14" t="s">
        <v>109</v>
      </c>
      <c r="F943" s="19" t="s">
        <v>2473</v>
      </c>
      <c r="G943" s="18" t="n">
        <v>999044297</v>
      </c>
      <c r="H943" s="26" t="s">
        <v>2474</v>
      </c>
      <c r="I943" s="26"/>
      <c r="J943" s="1"/>
      <c r="K943" s="1" t="s">
        <v>2475</v>
      </c>
      <c r="L943" s="1"/>
      <c r="M943" s="1"/>
      <c r="N943" s="1"/>
      <c r="O943" s="1"/>
      <c r="P943" s="6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21.75" hidden="false" customHeight="true" outlineLevel="0" collapsed="false">
      <c r="A944" s="4" t="n">
        <v>43483</v>
      </c>
      <c r="B944" s="18" t="s">
        <v>127</v>
      </c>
      <c r="C944" s="14" t="s">
        <v>15</v>
      </c>
      <c r="D944" s="14" t="s">
        <v>43</v>
      </c>
      <c r="E944" s="14" t="s">
        <v>44</v>
      </c>
      <c r="F944" s="14" t="s">
        <v>1344</v>
      </c>
      <c r="G944" s="14" t="n">
        <f aca="false">+593982931459</f>
        <v>593982931459</v>
      </c>
      <c r="H944" s="14" t="s">
        <v>1345</v>
      </c>
      <c r="I944" s="14"/>
      <c r="J944" s="1"/>
      <c r="K944" s="1" t="s">
        <v>2476</v>
      </c>
      <c r="L944" s="1"/>
      <c r="M944" s="1"/>
      <c r="N944" s="1"/>
      <c r="O944" s="1"/>
      <c r="P944" s="6" t="s">
        <v>133</v>
      </c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21.75" hidden="false" customHeight="true" outlineLevel="0" collapsed="false">
      <c r="A945" s="4" t="n">
        <v>43483</v>
      </c>
      <c r="B945" s="8" t="s">
        <v>127</v>
      </c>
      <c r="C945" s="14" t="s">
        <v>15</v>
      </c>
      <c r="D945" s="14" t="s">
        <v>43</v>
      </c>
      <c r="E945" s="14" t="s">
        <v>44</v>
      </c>
      <c r="F945" s="14" t="s">
        <v>2477</v>
      </c>
      <c r="G945" s="14" t="n">
        <f aca="false">+573145663981</f>
        <v>573145663981</v>
      </c>
      <c r="H945" s="14" t="s">
        <v>2478</v>
      </c>
      <c r="I945" s="14"/>
      <c r="J945" s="1"/>
      <c r="K945" s="1" t="s">
        <v>21</v>
      </c>
      <c r="L945" s="1"/>
      <c r="M945" s="1"/>
      <c r="N945" s="1"/>
      <c r="O945" s="1"/>
      <c r="P945" s="1" t="s">
        <v>21</v>
      </c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21.75" hidden="false" customHeight="true" outlineLevel="0" collapsed="false">
      <c r="A946" s="4" t="n">
        <v>43483</v>
      </c>
      <c r="B946" s="18" t="s">
        <v>127</v>
      </c>
      <c r="C946" s="14" t="s">
        <v>15</v>
      </c>
      <c r="D946" s="14" t="s">
        <v>43</v>
      </c>
      <c r="E946" s="14" t="s">
        <v>44</v>
      </c>
      <c r="F946" s="14" t="s">
        <v>2479</v>
      </c>
      <c r="G946" s="14" t="n">
        <f aca="false">+593998874801</f>
        <v>593998874801</v>
      </c>
      <c r="H946" s="14" t="s">
        <v>2480</v>
      </c>
      <c r="I946" s="14"/>
      <c r="J946" s="1"/>
      <c r="K946" s="1" t="s">
        <v>2481</v>
      </c>
      <c r="L946" s="1"/>
      <c r="M946" s="1"/>
      <c r="N946" s="1"/>
      <c r="O946" s="1"/>
      <c r="P946" s="6" t="s">
        <v>133</v>
      </c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21.75" hidden="false" customHeight="true" outlineLevel="0" collapsed="false">
      <c r="A947" s="4" t="n">
        <v>43483</v>
      </c>
      <c r="B947" s="18" t="s">
        <v>127</v>
      </c>
      <c r="C947" s="14" t="s">
        <v>15</v>
      </c>
      <c r="D947" s="14" t="s">
        <v>43</v>
      </c>
      <c r="E947" s="14" t="s">
        <v>44</v>
      </c>
      <c r="F947" s="14" t="s">
        <v>2482</v>
      </c>
      <c r="G947" s="14" t="n">
        <f aca="false">+593996360571</f>
        <v>593996360571</v>
      </c>
      <c r="H947" s="14" t="s">
        <v>2483</v>
      </c>
      <c r="I947" s="14"/>
      <c r="J947" s="1"/>
      <c r="K947" s="1" t="s">
        <v>21</v>
      </c>
      <c r="L947" s="1"/>
      <c r="M947" s="1"/>
      <c r="N947" s="1"/>
      <c r="O947" s="1"/>
      <c r="P947" s="1" t="s">
        <v>21</v>
      </c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21.75" hidden="false" customHeight="true" outlineLevel="0" collapsed="false">
      <c r="A948" s="4" t="n">
        <v>43483</v>
      </c>
      <c r="B948" s="14" t="s">
        <v>127</v>
      </c>
      <c r="C948" s="14" t="s">
        <v>15</v>
      </c>
      <c r="D948" s="14" t="s">
        <v>43</v>
      </c>
      <c r="E948" s="14" t="s">
        <v>109</v>
      </c>
      <c r="F948" s="14" t="s">
        <v>2484</v>
      </c>
      <c r="G948" s="14" t="n">
        <f aca="false">+593983896758</f>
        <v>593983896758</v>
      </c>
      <c r="H948" s="14" t="s">
        <v>2485</v>
      </c>
      <c r="I948" s="14"/>
      <c r="J948" s="1"/>
      <c r="K948" s="8" t="s">
        <v>2486</v>
      </c>
      <c r="L948" s="1"/>
      <c r="M948" s="1"/>
      <c r="N948" s="1"/>
      <c r="O948" s="1"/>
      <c r="P948" s="6" t="s">
        <v>58</v>
      </c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21.75" hidden="false" customHeight="true" outlineLevel="0" collapsed="false">
      <c r="A949" s="4" t="n">
        <v>43483</v>
      </c>
      <c r="B949" s="14" t="s">
        <v>127</v>
      </c>
      <c r="C949" s="14" t="s">
        <v>15</v>
      </c>
      <c r="D949" s="14" t="s">
        <v>43</v>
      </c>
      <c r="E949" s="14" t="s">
        <v>109</v>
      </c>
      <c r="F949" s="14" t="s">
        <v>2487</v>
      </c>
      <c r="G949" s="14" t="n">
        <f aca="false">+593998542871</f>
        <v>593998542871</v>
      </c>
      <c r="H949" s="14" t="s">
        <v>2488</v>
      </c>
      <c r="I949" s="14"/>
      <c r="J949" s="1"/>
      <c r="K949" s="1" t="s">
        <v>2489</v>
      </c>
      <c r="L949" s="1"/>
      <c r="M949" s="1"/>
      <c r="N949" s="1"/>
      <c r="O949" s="1"/>
      <c r="P949" s="6" t="s">
        <v>133</v>
      </c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21.75" hidden="false" customHeight="true" outlineLevel="0" collapsed="false">
      <c r="A950" s="4" t="n">
        <v>43483</v>
      </c>
      <c r="B950" s="14" t="s">
        <v>127</v>
      </c>
      <c r="C950" s="14" t="s">
        <v>15</v>
      </c>
      <c r="D950" s="14" t="s">
        <v>43</v>
      </c>
      <c r="E950" s="14" t="s">
        <v>109</v>
      </c>
      <c r="F950" s="14" t="s">
        <v>2490</v>
      </c>
      <c r="G950" s="14" t="n">
        <f aca="false">+5930959905511</f>
        <v>5930959905511</v>
      </c>
      <c r="H950" s="14" t="s">
        <v>2491</v>
      </c>
      <c r="I950" s="14"/>
      <c r="J950" s="1"/>
      <c r="K950" s="1" t="s">
        <v>21</v>
      </c>
      <c r="L950" s="1"/>
      <c r="M950" s="1"/>
      <c r="N950" s="1"/>
      <c r="O950" s="1"/>
      <c r="P950" s="6" t="s">
        <v>58</v>
      </c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21.75" hidden="false" customHeight="true" outlineLevel="0" collapsed="false">
      <c r="A951" s="4" t="n">
        <v>43483</v>
      </c>
      <c r="B951" s="14" t="s">
        <v>127</v>
      </c>
      <c r="C951" s="14" t="s">
        <v>15</v>
      </c>
      <c r="D951" s="14" t="s">
        <v>43</v>
      </c>
      <c r="E951" s="14" t="s">
        <v>109</v>
      </c>
      <c r="F951" s="14" t="s">
        <v>2492</v>
      </c>
      <c r="G951" s="14" t="n">
        <f aca="false">+593985833823</f>
        <v>593985833823</v>
      </c>
      <c r="H951" s="14" t="s">
        <v>2493</v>
      </c>
      <c r="I951" s="14"/>
      <c r="J951" s="1"/>
      <c r="K951" s="1" t="s">
        <v>21</v>
      </c>
      <c r="L951" s="1"/>
      <c r="M951" s="1"/>
      <c r="N951" s="1"/>
      <c r="O951" s="1"/>
      <c r="P951" s="6" t="s">
        <v>58</v>
      </c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21.75" hidden="false" customHeight="true" outlineLevel="0" collapsed="false">
      <c r="A952" s="4" t="n">
        <v>43483</v>
      </c>
      <c r="B952" s="14" t="s">
        <v>127</v>
      </c>
      <c r="C952" s="14" t="s">
        <v>15</v>
      </c>
      <c r="D952" s="14" t="s">
        <v>43</v>
      </c>
      <c r="E952" s="14" t="s">
        <v>109</v>
      </c>
      <c r="F952" s="14" t="s">
        <v>2494</v>
      </c>
      <c r="G952" s="14" t="n">
        <f aca="false">+593988397766</f>
        <v>593988397766</v>
      </c>
      <c r="H952" s="14" t="s">
        <v>2495</v>
      </c>
      <c r="I952" s="14"/>
      <c r="J952" s="1"/>
      <c r="K952" s="1" t="s">
        <v>2451</v>
      </c>
      <c r="L952" s="1"/>
      <c r="M952" s="1"/>
      <c r="N952" s="1"/>
      <c r="O952" s="1"/>
      <c r="P952" s="6" t="s">
        <v>133</v>
      </c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21.75" hidden="false" customHeight="true" outlineLevel="0" collapsed="false">
      <c r="A953" s="4" t="n">
        <v>43483</v>
      </c>
      <c r="B953" s="18" t="s">
        <v>127</v>
      </c>
      <c r="C953" s="14" t="s">
        <v>15</v>
      </c>
      <c r="D953" s="14" t="s">
        <v>43</v>
      </c>
      <c r="E953" s="14" t="s">
        <v>109</v>
      </c>
      <c r="F953" s="19" t="s">
        <v>2490</v>
      </c>
      <c r="G953" s="18" t="n">
        <v>959905511</v>
      </c>
      <c r="H953" s="18" t="s">
        <v>2491</v>
      </c>
      <c r="I953" s="18"/>
      <c r="J953" s="1"/>
      <c r="K953" s="1" t="s">
        <v>21</v>
      </c>
      <c r="L953" s="1" t="s">
        <v>2496</v>
      </c>
      <c r="M953" s="1"/>
      <c r="N953" s="1"/>
      <c r="O953" s="1"/>
      <c r="P953" s="6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21.75" hidden="false" customHeight="true" outlineLevel="0" collapsed="false">
      <c r="A954" s="4" t="n">
        <v>43483</v>
      </c>
      <c r="B954" s="18" t="s">
        <v>964</v>
      </c>
      <c r="C954" s="14" t="s">
        <v>15</v>
      </c>
      <c r="D954" s="14" t="s">
        <v>43</v>
      </c>
      <c r="E954" s="8" t="s">
        <v>17</v>
      </c>
      <c r="F954" s="19" t="s">
        <v>2497</v>
      </c>
      <c r="G954" s="18" t="n">
        <v>993616319</v>
      </c>
      <c r="H954" s="26" t="s">
        <v>2498</v>
      </c>
      <c r="I954" s="26"/>
      <c r="J954" s="1"/>
      <c r="K954" s="1" t="s">
        <v>2499</v>
      </c>
      <c r="L954" s="1"/>
      <c r="M954" s="1"/>
      <c r="N954" s="1"/>
      <c r="O954" s="1"/>
      <c r="P954" s="6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21.75" hidden="false" customHeight="true" outlineLevel="0" collapsed="false">
      <c r="A955" s="4" t="n">
        <v>43483</v>
      </c>
      <c r="B955" s="14" t="s">
        <v>1114</v>
      </c>
      <c r="C955" s="14" t="s">
        <v>15</v>
      </c>
      <c r="D955" s="14" t="s">
        <v>43</v>
      </c>
      <c r="E955" s="14" t="s">
        <v>109</v>
      </c>
      <c r="F955" s="14" t="s">
        <v>2500</v>
      </c>
      <c r="G955" s="14" t="n">
        <f aca="false">+5930969373287</f>
        <v>5930969373287</v>
      </c>
      <c r="H955" s="14" t="s">
        <v>2501</v>
      </c>
      <c r="I955" s="14"/>
      <c r="J955" s="1"/>
      <c r="K955" s="1" t="s">
        <v>21</v>
      </c>
      <c r="L955" s="1"/>
      <c r="M955" s="1"/>
      <c r="N955" s="1"/>
      <c r="O955" s="1"/>
      <c r="P955" s="6" t="s">
        <v>21</v>
      </c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21.75" hidden="false" customHeight="true" outlineLevel="0" collapsed="false">
      <c r="A956" s="4" t="n">
        <v>43483</v>
      </c>
      <c r="B956" s="14" t="s">
        <v>1114</v>
      </c>
      <c r="C956" s="14" t="s">
        <v>15</v>
      </c>
      <c r="D956" s="14" t="s">
        <v>43</v>
      </c>
      <c r="E956" s="14" t="s">
        <v>109</v>
      </c>
      <c r="F956" s="14" t="s">
        <v>2502</v>
      </c>
      <c r="G956" s="14" t="n">
        <f aca="false">+593988199879</f>
        <v>593988199879</v>
      </c>
      <c r="H956" s="14" t="s">
        <v>2503</v>
      </c>
      <c r="I956" s="14"/>
      <c r="J956" s="1"/>
      <c r="K956" s="1" t="s">
        <v>21</v>
      </c>
      <c r="L956" s="1"/>
      <c r="M956" s="1"/>
      <c r="N956" s="1"/>
      <c r="O956" s="1"/>
      <c r="P956" s="6" t="s">
        <v>58</v>
      </c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21.75" hidden="false" customHeight="true" outlineLevel="0" collapsed="false">
      <c r="A957" s="4" t="n">
        <v>43483</v>
      </c>
      <c r="B957" s="14" t="s">
        <v>1114</v>
      </c>
      <c r="C957" s="14" t="s">
        <v>15</v>
      </c>
      <c r="D957" s="14" t="s">
        <v>43</v>
      </c>
      <c r="E957" s="14" t="s">
        <v>109</v>
      </c>
      <c r="F957" s="14" t="s">
        <v>2504</v>
      </c>
      <c r="G957" s="14" t="n">
        <f aca="false">+593999104308</f>
        <v>593999104308</v>
      </c>
      <c r="H957" s="14" t="s">
        <v>2505</v>
      </c>
      <c r="I957" s="14"/>
      <c r="J957" s="1"/>
      <c r="K957" s="1" t="s">
        <v>2506</v>
      </c>
      <c r="L957" s="1"/>
      <c r="M957" s="1"/>
      <c r="N957" s="1"/>
      <c r="O957" s="1"/>
      <c r="P957" s="6" t="s">
        <v>133</v>
      </c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21.75" hidden="false" customHeight="true" outlineLevel="0" collapsed="false">
      <c r="A958" s="4" t="n">
        <v>43483</v>
      </c>
      <c r="B958" s="14" t="s">
        <v>1114</v>
      </c>
      <c r="C958" s="14" t="s">
        <v>15</v>
      </c>
      <c r="D958" s="14" t="s">
        <v>43</v>
      </c>
      <c r="E958" s="14" t="s">
        <v>109</v>
      </c>
      <c r="F958" s="14" t="s">
        <v>2507</v>
      </c>
      <c r="G958" s="14" t="n">
        <f aca="false">+593989470157</f>
        <v>593989470157</v>
      </c>
      <c r="H958" s="14" t="s">
        <v>2508</v>
      </c>
      <c r="I958" s="14"/>
      <c r="J958" s="1"/>
      <c r="K958" s="1" t="s">
        <v>21</v>
      </c>
      <c r="L958" s="1"/>
      <c r="M958" s="1"/>
      <c r="N958" s="1"/>
      <c r="O958" s="1"/>
      <c r="P958" s="6" t="s">
        <v>58</v>
      </c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21.75" hidden="false" customHeight="true" outlineLevel="0" collapsed="false">
      <c r="A959" s="4" t="n">
        <v>43483</v>
      </c>
      <c r="B959" s="18" t="s">
        <v>1114</v>
      </c>
      <c r="C959" s="14" t="s">
        <v>15</v>
      </c>
      <c r="D959" s="14" t="s">
        <v>43</v>
      </c>
      <c r="E959" s="14" t="s">
        <v>109</v>
      </c>
      <c r="F959" s="19" t="s">
        <v>2509</v>
      </c>
      <c r="G959" s="18" t="n">
        <v>968741238</v>
      </c>
      <c r="H959" s="18" t="s">
        <v>2510</v>
      </c>
      <c r="I959" s="18"/>
      <c r="J959" s="1"/>
      <c r="K959" s="1" t="s">
        <v>21</v>
      </c>
      <c r="L959" s="1"/>
      <c r="M959" s="1"/>
      <c r="N959" s="1"/>
      <c r="O959" s="1"/>
      <c r="P959" s="6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21.75" hidden="false" customHeight="true" outlineLevel="0" collapsed="false">
      <c r="A960" s="4" t="n">
        <v>43483</v>
      </c>
      <c r="B960" s="18" t="s">
        <v>1114</v>
      </c>
      <c r="C960" s="14" t="s">
        <v>15</v>
      </c>
      <c r="D960" s="14" t="s">
        <v>43</v>
      </c>
      <c r="E960" s="14" t="s">
        <v>109</v>
      </c>
      <c r="F960" s="19" t="s">
        <v>1310</v>
      </c>
      <c r="G960" s="18" t="n">
        <v>981039967</v>
      </c>
      <c r="H960" s="18" t="s">
        <v>1311</v>
      </c>
      <c r="I960" s="18"/>
      <c r="J960" s="1"/>
      <c r="K960" s="1" t="s">
        <v>2511</v>
      </c>
      <c r="L960" s="1"/>
      <c r="M960" s="1"/>
      <c r="N960" s="1"/>
      <c r="O960" s="1"/>
      <c r="P960" s="6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21.75" hidden="false" customHeight="true" outlineLevel="0" collapsed="false">
      <c r="A961" s="4" t="n">
        <v>43483</v>
      </c>
      <c r="B961" s="18" t="s">
        <v>1114</v>
      </c>
      <c r="C961" s="14" t="s">
        <v>15</v>
      </c>
      <c r="D961" s="14" t="s">
        <v>43</v>
      </c>
      <c r="E961" s="14" t="s">
        <v>109</v>
      </c>
      <c r="F961" s="19" t="s">
        <v>2512</v>
      </c>
      <c r="G961" s="18" t="n">
        <v>960422368</v>
      </c>
      <c r="H961" s="18" t="s">
        <v>2513</v>
      </c>
      <c r="I961" s="18"/>
      <c r="J961" s="1"/>
      <c r="K961" s="1" t="s">
        <v>21</v>
      </c>
      <c r="L961" s="1"/>
      <c r="M961" s="1"/>
      <c r="N961" s="1"/>
      <c r="O961" s="1"/>
      <c r="P961" s="6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21.75" hidden="false" customHeight="true" outlineLevel="0" collapsed="false">
      <c r="A962" s="4" t="n">
        <v>43483</v>
      </c>
      <c r="B962" s="18" t="s">
        <v>1114</v>
      </c>
      <c r="C962" s="14" t="s">
        <v>15</v>
      </c>
      <c r="D962" s="14" t="s">
        <v>43</v>
      </c>
      <c r="E962" s="14" t="s">
        <v>109</v>
      </c>
      <c r="F962" s="19" t="s">
        <v>2514</v>
      </c>
      <c r="G962" s="18" t="n">
        <v>983523470</v>
      </c>
      <c r="H962" s="18" t="s">
        <v>2515</v>
      </c>
      <c r="I962" s="18"/>
      <c r="J962" s="1"/>
      <c r="K962" s="1" t="s">
        <v>21</v>
      </c>
      <c r="L962" s="1"/>
      <c r="M962" s="1"/>
      <c r="N962" s="1"/>
      <c r="O962" s="1"/>
      <c r="P962" s="6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21.75" hidden="false" customHeight="true" outlineLevel="0" collapsed="false">
      <c r="A963" s="4" t="n">
        <v>43483</v>
      </c>
      <c r="B963" s="18" t="s">
        <v>415</v>
      </c>
      <c r="C963" s="14" t="s">
        <v>15</v>
      </c>
      <c r="D963" s="14" t="s">
        <v>43</v>
      </c>
      <c r="E963" s="14" t="s">
        <v>44</v>
      </c>
      <c r="F963" s="14" t="s">
        <v>2516</v>
      </c>
      <c r="G963" s="14"/>
      <c r="H963" s="14" t="s">
        <v>2517</v>
      </c>
      <c r="I963" s="14"/>
      <c r="J963" s="1"/>
      <c r="K963" s="1" t="s">
        <v>294</v>
      </c>
      <c r="L963" s="1"/>
      <c r="M963" s="1"/>
      <c r="N963" s="1"/>
      <c r="O963" s="1"/>
      <c r="P963" s="6" t="s">
        <v>294</v>
      </c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21.75" hidden="false" customHeight="true" outlineLevel="0" collapsed="false">
      <c r="A964" s="4" t="n">
        <v>43483</v>
      </c>
      <c r="B964" s="14" t="s">
        <v>415</v>
      </c>
      <c r="C964" s="14" t="s">
        <v>15</v>
      </c>
      <c r="D964" s="14" t="s">
        <v>43</v>
      </c>
      <c r="E964" s="14" t="s">
        <v>109</v>
      </c>
      <c r="F964" s="14" t="s">
        <v>2518</v>
      </c>
      <c r="G964" s="14" t="n">
        <f aca="false">+5930969734118</f>
        <v>5930969734118</v>
      </c>
      <c r="H964" s="14" t="s">
        <v>2519</v>
      </c>
      <c r="I964" s="14"/>
      <c r="J964" s="1"/>
      <c r="K964" s="1" t="s">
        <v>21</v>
      </c>
      <c r="L964" s="1"/>
      <c r="M964" s="1"/>
      <c r="N964" s="1"/>
      <c r="O964" s="1"/>
      <c r="P964" s="6" t="s">
        <v>21</v>
      </c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21.75" hidden="false" customHeight="true" outlineLevel="0" collapsed="false">
      <c r="A965" s="4" t="n">
        <v>43483</v>
      </c>
      <c r="B965" s="14" t="s">
        <v>415</v>
      </c>
      <c r="C965" s="14" t="s">
        <v>15</v>
      </c>
      <c r="D965" s="14" t="s">
        <v>43</v>
      </c>
      <c r="E965" s="14" t="s">
        <v>109</v>
      </c>
      <c r="F965" s="14" t="s">
        <v>2520</v>
      </c>
      <c r="G965" s="14" t="n">
        <f aca="false">+593988807575</f>
        <v>593988807575</v>
      </c>
      <c r="H965" s="14" t="s">
        <v>2521</v>
      </c>
      <c r="I965" s="14"/>
      <c r="J965" s="1"/>
      <c r="K965" s="1" t="s">
        <v>21</v>
      </c>
      <c r="L965" s="1"/>
      <c r="M965" s="1"/>
      <c r="N965" s="1"/>
      <c r="O965" s="1"/>
      <c r="P965" s="6" t="s">
        <v>58</v>
      </c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21.75" hidden="false" customHeight="true" outlineLevel="0" collapsed="false">
      <c r="A966" s="4" t="n">
        <v>43483</v>
      </c>
      <c r="B966" s="14" t="s">
        <v>415</v>
      </c>
      <c r="C966" s="14" t="s">
        <v>26</v>
      </c>
      <c r="D966" s="14" t="s">
        <v>43</v>
      </c>
      <c r="E966" s="14" t="s">
        <v>109</v>
      </c>
      <c r="F966" s="14" t="s">
        <v>2522</v>
      </c>
      <c r="G966" s="14" t="n">
        <f aca="false">+593985847485</f>
        <v>593985847485</v>
      </c>
      <c r="H966" s="14" t="s">
        <v>2523</v>
      </c>
      <c r="I966" s="14"/>
      <c r="J966" s="1"/>
      <c r="K966" s="1" t="s">
        <v>739</v>
      </c>
      <c r="L966" s="1"/>
      <c r="M966" s="1"/>
      <c r="N966" s="1"/>
      <c r="O966" s="1"/>
      <c r="P966" s="6" t="s">
        <v>133</v>
      </c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21.75" hidden="false" customHeight="true" outlineLevel="0" collapsed="false">
      <c r="A967" s="4" t="n">
        <v>43483</v>
      </c>
      <c r="B967" s="14" t="s">
        <v>415</v>
      </c>
      <c r="C967" s="14" t="s">
        <v>15</v>
      </c>
      <c r="D967" s="14" t="s">
        <v>43</v>
      </c>
      <c r="E967" s="14" t="s">
        <v>109</v>
      </c>
      <c r="F967" s="14" t="s">
        <v>2524</v>
      </c>
      <c r="G967" s="14" t="n">
        <f aca="false">+593968596612</f>
        <v>593968596612</v>
      </c>
      <c r="H967" s="14" t="s">
        <v>2525</v>
      </c>
      <c r="I967" s="14"/>
      <c r="J967" s="1"/>
      <c r="K967" s="1" t="s">
        <v>2526</v>
      </c>
      <c r="L967" s="1"/>
      <c r="M967" s="1"/>
      <c r="N967" s="1"/>
      <c r="O967" s="1"/>
      <c r="P967" s="6" t="s">
        <v>133</v>
      </c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21.75" hidden="false" customHeight="true" outlineLevel="0" collapsed="false">
      <c r="A968" s="4" t="n">
        <v>43483</v>
      </c>
      <c r="B968" s="18" t="s">
        <v>415</v>
      </c>
      <c r="C968" s="14" t="s">
        <v>15</v>
      </c>
      <c r="D968" s="14" t="s">
        <v>43</v>
      </c>
      <c r="E968" s="14" t="s">
        <v>109</v>
      </c>
      <c r="F968" s="19" t="s">
        <v>2527</v>
      </c>
      <c r="G968" s="18" t="n">
        <v>984479753</v>
      </c>
      <c r="H968" s="18" t="s">
        <v>2528</v>
      </c>
      <c r="I968" s="18"/>
      <c r="J968" s="1"/>
      <c r="K968" s="1" t="s">
        <v>21</v>
      </c>
      <c r="L968" s="1"/>
      <c r="M968" s="1"/>
      <c r="N968" s="1"/>
      <c r="O968" s="1"/>
      <c r="P968" s="6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21.75" hidden="false" customHeight="true" outlineLevel="0" collapsed="false">
      <c r="A969" s="4" t="n">
        <v>43483</v>
      </c>
      <c r="B969" s="18" t="s">
        <v>415</v>
      </c>
      <c r="C969" s="14" t="s">
        <v>15</v>
      </c>
      <c r="D969" s="14" t="s">
        <v>43</v>
      </c>
      <c r="E969" s="14" t="s">
        <v>109</v>
      </c>
      <c r="F969" s="19" t="s">
        <v>2529</v>
      </c>
      <c r="G969" s="18" t="n">
        <v>985935695</v>
      </c>
      <c r="H969" s="26" t="s">
        <v>2530</v>
      </c>
      <c r="I969" s="26"/>
      <c r="J969" s="1"/>
      <c r="K969" s="1" t="s">
        <v>21</v>
      </c>
      <c r="L969" s="1"/>
      <c r="M969" s="1"/>
      <c r="N969" s="1"/>
      <c r="O969" s="1"/>
      <c r="P969" s="6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21.75" hidden="false" customHeight="true" outlineLevel="0" collapsed="false">
      <c r="A970" s="4" t="n">
        <v>43483</v>
      </c>
      <c r="B970" s="14" t="s">
        <v>352</v>
      </c>
      <c r="C970" s="14" t="s">
        <v>15</v>
      </c>
      <c r="D970" s="14" t="s">
        <v>43</v>
      </c>
      <c r="E970" s="14" t="s">
        <v>109</v>
      </c>
      <c r="F970" s="14" t="s">
        <v>2531</v>
      </c>
      <c r="G970" s="14" t="n">
        <v>992931316</v>
      </c>
      <c r="H970" s="14" t="s">
        <v>2532</v>
      </c>
      <c r="I970" s="14"/>
      <c r="J970" s="1"/>
      <c r="K970" s="1" t="s">
        <v>2533</v>
      </c>
      <c r="L970" s="1"/>
      <c r="M970" s="1"/>
      <c r="N970" s="1"/>
      <c r="O970" s="1"/>
      <c r="P970" s="6" t="s">
        <v>133</v>
      </c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21.75" hidden="false" customHeight="true" outlineLevel="0" collapsed="false">
      <c r="A971" s="4" t="n">
        <v>43483</v>
      </c>
      <c r="B971" s="14" t="s">
        <v>352</v>
      </c>
      <c r="C971" s="14" t="s">
        <v>15</v>
      </c>
      <c r="D971" s="14" t="s">
        <v>43</v>
      </c>
      <c r="E971" s="14" t="s">
        <v>109</v>
      </c>
      <c r="F971" s="14" t="s">
        <v>2534</v>
      </c>
      <c r="G971" s="14" t="n">
        <f aca="false">+593993349625</f>
        <v>593993349625</v>
      </c>
      <c r="H971" s="14" t="s">
        <v>2535</v>
      </c>
      <c r="I971" s="14"/>
      <c r="J971" s="1"/>
      <c r="K971" s="1" t="s">
        <v>21</v>
      </c>
      <c r="L971" s="1"/>
      <c r="M971" s="1"/>
      <c r="N971" s="1"/>
      <c r="O971" s="1"/>
      <c r="P971" s="6" t="s">
        <v>21</v>
      </c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21.75" hidden="false" customHeight="true" outlineLevel="0" collapsed="false">
      <c r="A972" s="4" t="n">
        <v>43483</v>
      </c>
      <c r="B972" s="14" t="s">
        <v>352</v>
      </c>
      <c r="C972" s="14" t="s">
        <v>15</v>
      </c>
      <c r="D972" s="14" t="s">
        <v>43</v>
      </c>
      <c r="E972" s="14" t="s">
        <v>109</v>
      </c>
      <c r="F972" s="14" t="s">
        <v>2536</v>
      </c>
      <c r="G972" s="14" t="n">
        <f aca="false">+593988367788</f>
        <v>593988367788</v>
      </c>
      <c r="H972" s="14" t="s">
        <v>2537</v>
      </c>
      <c r="I972" s="14"/>
      <c r="J972" s="1"/>
      <c r="K972" s="1" t="s">
        <v>21</v>
      </c>
      <c r="L972" s="1"/>
      <c r="M972" s="1"/>
      <c r="N972" s="1"/>
      <c r="O972" s="1"/>
      <c r="P972" s="6" t="s">
        <v>58</v>
      </c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21.75" hidden="false" customHeight="true" outlineLevel="0" collapsed="false">
      <c r="A973" s="4" t="n">
        <v>43483</v>
      </c>
      <c r="B973" s="14" t="s">
        <v>352</v>
      </c>
      <c r="C973" s="14" t="s">
        <v>15</v>
      </c>
      <c r="D973" s="14" t="s">
        <v>43</v>
      </c>
      <c r="E973" s="14" t="s">
        <v>109</v>
      </c>
      <c r="F973" s="14" t="s">
        <v>2538</v>
      </c>
      <c r="G973" s="14" t="n">
        <f aca="false">+5930994750156</f>
        <v>5930994750156</v>
      </c>
      <c r="H973" s="14" t="s">
        <v>2539</v>
      </c>
      <c r="I973" s="14"/>
      <c r="J973" s="1"/>
      <c r="K973" s="1" t="s">
        <v>21</v>
      </c>
      <c r="L973" s="1"/>
      <c r="M973" s="1"/>
      <c r="N973" s="1"/>
      <c r="O973" s="1"/>
      <c r="P973" s="6" t="s">
        <v>58</v>
      </c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21.75" hidden="false" customHeight="true" outlineLevel="0" collapsed="false">
      <c r="A974" s="4" t="n">
        <v>43483</v>
      </c>
      <c r="B974" s="14" t="s">
        <v>352</v>
      </c>
      <c r="C974" s="14" t="s">
        <v>15</v>
      </c>
      <c r="D974" s="14" t="s">
        <v>43</v>
      </c>
      <c r="E974" s="14" t="s">
        <v>109</v>
      </c>
      <c r="F974" s="14" t="s">
        <v>2540</v>
      </c>
      <c r="G974" s="14" t="n">
        <f aca="false">+593985661771</f>
        <v>593985661771</v>
      </c>
      <c r="H974" s="14" t="s">
        <v>2541</v>
      </c>
      <c r="I974" s="14"/>
      <c r="J974" s="1"/>
      <c r="K974" s="1" t="s">
        <v>21</v>
      </c>
      <c r="L974" s="1"/>
      <c r="M974" s="1"/>
      <c r="N974" s="1"/>
      <c r="O974" s="1"/>
      <c r="P974" s="6" t="s">
        <v>58</v>
      </c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21.75" hidden="false" customHeight="true" outlineLevel="0" collapsed="false">
      <c r="A975" s="4" t="n">
        <v>43483</v>
      </c>
      <c r="B975" s="14" t="s">
        <v>352</v>
      </c>
      <c r="C975" s="14" t="s">
        <v>15</v>
      </c>
      <c r="D975" s="14" t="s">
        <v>43</v>
      </c>
      <c r="E975" s="14" t="s">
        <v>109</v>
      </c>
      <c r="F975" s="14" t="s">
        <v>2542</v>
      </c>
      <c r="G975" s="14" t="n">
        <f aca="false">+593968767782</f>
        <v>593968767782</v>
      </c>
      <c r="H975" s="14" t="s">
        <v>2543</v>
      </c>
      <c r="I975" s="14"/>
      <c r="J975" s="1"/>
      <c r="K975" s="1" t="s">
        <v>21</v>
      </c>
      <c r="L975" s="1"/>
      <c r="M975" s="1"/>
      <c r="N975" s="1"/>
      <c r="O975" s="1"/>
      <c r="P975" s="6" t="s">
        <v>58</v>
      </c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21.75" hidden="false" customHeight="true" outlineLevel="0" collapsed="false">
      <c r="A976" s="4" t="n">
        <v>43483</v>
      </c>
      <c r="B976" s="14" t="s">
        <v>352</v>
      </c>
      <c r="C976" s="14" t="s">
        <v>15</v>
      </c>
      <c r="D976" s="14" t="s">
        <v>43</v>
      </c>
      <c r="E976" s="14" t="s">
        <v>109</v>
      </c>
      <c r="F976" s="14" t="s">
        <v>2544</v>
      </c>
      <c r="G976" s="14" t="n">
        <f aca="false">+593982723309</f>
        <v>593982723309</v>
      </c>
      <c r="H976" s="14" t="s">
        <v>2545</v>
      </c>
      <c r="I976" s="14"/>
      <c r="J976" s="1"/>
      <c r="K976" s="1" t="s">
        <v>2546</v>
      </c>
      <c r="L976" s="1"/>
      <c r="M976" s="1"/>
      <c r="N976" s="1"/>
      <c r="O976" s="1"/>
      <c r="P976" s="6" t="s">
        <v>133</v>
      </c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21.75" hidden="false" customHeight="true" outlineLevel="0" collapsed="false">
      <c r="A977" s="4" t="n">
        <v>43483</v>
      </c>
      <c r="B977" s="18" t="s">
        <v>352</v>
      </c>
      <c r="C977" s="14" t="s">
        <v>15</v>
      </c>
      <c r="D977" s="14" t="s">
        <v>43</v>
      </c>
      <c r="E977" s="14" t="s">
        <v>109</v>
      </c>
      <c r="F977" s="19" t="s">
        <v>2547</v>
      </c>
      <c r="G977" s="18" t="n">
        <v>968994391</v>
      </c>
      <c r="H977" s="18" t="s">
        <v>2548</v>
      </c>
      <c r="I977" s="18"/>
      <c r="J977" s="1"/>
      <c r="K977" s="1" t="s">
        <v>21</v>
      </c>
      <c r="L977" s="1"/>
      <c r="M977" s="1"/>
      <c r="N977" s="1"/>
      <c r="O977" s="1"/>
      <c r="P977" s="6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21.75" hidden="false" customHeight="true" outlineLevel="0" collapsed="false">
      <c r="A978" s="4" t="n">
        <v>43483</v>
      </c>
      <c r="B978" s="18" t="s">
        <v>81</v>
      </c>
      <c r="C978" s="14" t="s">
        <v>15</v>
      </c>
      <c r="D978" s="14" t="s">
        <v>43</v>
      </c>
      <c r="E978" s="14" t="s">
        <v>44</v>
      </c>
      <c r="F978" s="14" t="s">
        <v>2549</v>
      </c>
      <c r="G978" s="14" t="n">
        <f aca="false">+593999936712</f>
        <v>593999936712</v>
      </c>
      <c r="H978" s="14" t="s">
        <v>2550</v>
      </c>
      <c r="I978" s="14"/>
      <c r="J978" s="1"/>
      <c r="K978" s="1" t="s">
        <v>21</v>
      </c>
      <c r="L978" s="1"/>
      <c r="M978" s="1"/>
      <c r="N978" s="1"/>
      <c r="O978" s="1"/>
      <c r="P978" s="1" t="s">
        <v>21</v>
      </c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21.75" hidden="false" customHeight="true" outlineLevel="0" collapsed="false">
      <c r="A979" s="4" t="n">
        <v>43483</v>
      </c>
      <c r="B979" s="18" t="s">
        <v>81</v>
      </c>
      <c r="C979" s="14" t="s">
        <v>26</v>
      </c>
      <c r="D979" s="14" t="s">
        <v>43</v>
      </c>
      <c r="E979" s="14" t="s">
        <v>44</v>
      </c>
      <c r="F979" s="14" t="s">
        <v>2551</v>
      </c>
      <c r="G979" s="14" t="n">
        <f aca="false">+593995801086</f>
        <v>593995801086</v>
      </c>
      <c r="H979" s="14" t="s">
        <v>2552</v>
      </c>
      <c r="I979" s="14"/>
      <c r="J979" s="1"/>
      <c r="K979" s="1" t="s">
        <v>21</v>
      </c>
      <c r="L979" s="1"/>
      <c r="M979" s="1"/>
      <c r="N979" s="1"/>
      <c r="O979" s="1"/>
      <c r="P979" s="1" t="s">
        <v>21</v>
      </c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21.75" hidden="false" customHeight="true" outlineLevel="0" collapsed="false">
      <c r="A980" s="4" t="n">
        <v>43483</v>
      </c>
      <c r="B980" s="18" t="s">
        <v>81</v>
      </c>
      <c r="C980" s="14" t="s">
        <v>15</v>
      </c>
      <c r="D980" s="14" t="s">
        <v>43</v>
      </c>
      <c r="E980" s="14" t="s">
        <v>44</v>
      </c>
      <c r="F980" s="14" t="s">
        <v>2553</v>
      </c>
      <c r="G980" s="14" t="n">
        <f aca="false">+5930958794622</f>
        <v>5930958794622</v>
      </c>
      <c r="H980" s="14" t="s">
        <v>2554</v>
      </c>
      <c r="I980" s="14"/>
      <c r="J980" s="1"/>
      <c r="K980" s="1" t="s">
        <v>673</v>
      </c>
      <c r="L980" s="1"/>
      <c r="M980" s="1"/>
      <c r="N980" s="1"/>
      <c r="O980" s="1"/>
      <c r="P980" s="1" t="s">
        <v>760</v>
      </c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21.75" hidden="false" customHeight="true" outlineLevel="0" collapsed="false">
      <c r="A981" s="4" t="n">
        <v>43483</v>
      </c>
      <c r="B981" s="18" t="s">
        <v>81</v>
      </c>
      <c r="C981" s="14" t="s">
        <v>15</v>
      </c>
      <c r="D981" s="14" t="s">
        <v>43</v>
      </c>
      <c r="E981" s="14" t="s">
        <v>44</v>
      </c>
      <c r="F981" s="14" t="s">
        <v>2555</v>
      </c>
      <c r="G981" s="14" t="n">
        <f aca="false">+5930995151601</f>
        <v>5930995151601</v>
      </c>
      <c r="H981" s="14" t="s">
        <v>2556</v>
      </c>
      <c r="I981" s="14"/>
      <c r="J981" s="1"/>
      <c r="K981" s="1" t="s">
        <v>21</v>
      </c>
      <c r="L981" s="1"/>
      <c r="M981" s="1"/>
      <c r="N981" s="1"/>
      <c r="O981" s="1"/>
      <c r="P981" s="1" t="s">
        <v>21</v>
      </c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21.75" hidden="false" customHeight="true" outlineLevel="0" collapsed="false">
      <c r="A982" s="4" t="n">
        <v>43483</v>
      </c>
      <c r="B982" s="18" t="s">
        <v>81</v>
      </c>
      <c r="C982" s="14" t="s">
        <v>26</v>
      </c>
      <c r="D982" s="14" t="s">
        <v>43</v>
      </c>
      <c r="E982" s="14" t="s">
        <v>44</v>
      </c>
      <c r="F982" s="14" t="s">
        <v>2557</v>
      </c>
      <c r="G982" s="14" t="n">
        <f aca="false">+593992783594</f>
        <v>593992783594</v>
      </c>
      <c r="H982" s="14" t="s">
        <v>2558</v>
      </c>
      <c r="I982" s="14"/>
      <c r="J982" s="1"/>
      <c r="K982" s="1" t="s">
        <v>21</v>
      </c>
      <c r="L982" s="1"/>
      <c r="M982" s="1"/>
      <c r="N982" s="1"/>
      <c r="O982" s="1"/>
      <c r="P982" s="1" t="s">
        <v>21</v>
      </c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21.75" hidden="false" customHeight="true" outlineLevel="0" collapsed="false">
      <c r="A983" s="4" t="n">
        <v>43483</v>
      </c>
      <c r="B983" s="18" t="s">
        <v>81</v>
      </c>
      <c r="C983" s="14" t="s">
        <v>26</v>
      </c>
      <c r="D983" s="14" t="s">
        <v>43</v>
      </c>
      <c r="E983" s="14" t="s">
        <v>44</v>
      </c>
      <c r="F983" s="14" t="s">
        <v>2559</v>
      </c>
      <c r="G983" s="14" t="n">
        <f aca="false">+5930992811186</f>
        <v>5930992811186</v>
      </c>
      <c r="H983" s="14" t="s">
        <v>2560</v>
      </c>
      <c r="I983" s="14"/>
      <c r="J983" s="1"/>
      <c r="K983" s="1" t="s">
        <v>2561</v>
      </c>
      <c r="L983" s="1"/>
      <c r="M983" s="1"/>
      <c r="N983" s="1"/>
      <c r="O983" s="1"/>
      <c r="P983" s="6" t="s">
        <v>133</v>
      </c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21.75" hidden="false" customHeight="true" outlineLevel="0" collapsed="false">
      <c r="A984" s="4" t="n">
        <v>43483</v>
      </c>
      <c r="B984" s="11" t="s">
        <v>286</v>
      </c>
      <c r="C984" s="14" t="s">
        <v>15</v>
      </c>
      <c r="D984" s="14" t="s">
        <v>16</v>
      </c>
      <c r="E984" s="14" t="s">
        <v>17</v>
      </c>
      <c r="F984" s="14" t="s">
        <v>2562</v>
      </c>
      <c r="G984" s="14" t="n">
        <f aca="false">+593980534350</f>
        <v>593980534350</v>
      </c>
      <c r="H984" s="14" t="s">
        <v>2563</v>
      </c>
      <c r="I984" s="14"/>
      <c r="J984" s="1"/>
      <c r="K984" s="1" t="s">
        <v>2564</v>
      </c>
      <c r="L984" s="1"/>
      <c r="M984" s="1"/>
      <c r="N984" s="1"/>
      <c r="O984" s="1"/>
      <c r="P984" s="6" t="s">
        <v>133</v>
      </c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21.75" hidden="false" customHeight="true" outlineLevel="0" collapsed="false">
      <c r="A985" s="4" t="n">
        <v>43483</v>
      </c>
      <c r="B985" s="18" t="s">
        <v>86</v>
      </c>
      <c r="C985" s="14" t="s">
        <v>15</v>
      </c>
      <c r="D985" s="14" t="s">
        <v>16</v>
      </c>
      <c r="E985" s="14" t="s">
        <v>17</v>
      </c>
      <c r="F985" s="14" t="s">
        <v>2565</v>
      </c>
      <c r="G985" s="14" t="n">
        <f aca="false">+593979548914</f>
        <v>593979548914</v>
      </c>
      <c r="H985" s="14" t="s">
        <v>2566</v>
      </c>
      <c r="I985" s="14"/>
      <c r="J985" s="1"/>
      <c r="K985" s="1" t="s">
        <v>2567</v>
      </c>
      <c r="L985" s="1"/>
      <c r="M985" s="1"/>
      <c r="N985" s="1"/>
      <c r="O985" s="1"/>
      <c r="P985" s="6" t="s">
        <v>133</v>
      </c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21.75" hidden="false" customHeight="true" outlineLevel="0" collapsed="false">
      <c r="A986" s="4" t="n">
        <v>43483</v>
      </c>
      <c r="B986" s="18" t="s">
        <v>86</v>
      </c>
      <c r="C986" s="14" t="s">
        <v>15</v>
      </c>
      <c r="D986" s="14" t="s">
        <v>16</v>
      </c>
      <c r="E986" s="14" t="s">
        <v>17</v>
      </c>
      <c r="F986" s="14" t="s">
        <v>2568</v>
      </c>
      <c r="G986" s="14" t="n">
        <f aca="false">+5930967418096</f>
        <v>5930967418096</v>
      </c>
      <c r="H986" s="14" t="s">
        <v>2569</v>
      </c>
      <c r="I986" s="14"/>
      <c r="J986" s="1"/>
      <c r="K986" s="1" t="s">
        <v>21</v>
      </c>
      <c r="L986" s="1"/>
      <c r="M986" s="1"/>
      <c r="N986" s="1"/>
      <c r="O986" s="1"/>
      <c r="P986" s="1" t="s">
        <v>21</v>
      </c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21.75" hidden="false" customHeight="true" outlineLevel="0" collapsed="false">
      <c r="A987" s="4" t="n">
        <v>43483</v>
      </c>
      <c r="B987" s="18" t="s">
        <v>86</v>
      </c>
      <c r="C987" s="14" t="s">
        <v>15</v>
      </c>
      <c r="D987" s="14" t="s">
        <v>16</v>
      </c>
      <c r="E987" s="14" t="s">
        <v>17</v>
      </c>
      <c r="F987" s="14" t="s">
        <v>2570</v>
      </c>
      <c r="G987" s="14" t="n">
        <f aca="false">+330981605652</f>
        <v>330981605652</v>
      </c>
      <c r="H987" s="14" t="s">
        <v>2571</v>
      </c>
      <c r="I987" s="14"/>
      <c r="J987" s="1"/>
      <c r="K987" s="1" t="s">
        <v>21</v>
      </c>
      <c r="L987" s="1"/>
      <c r="M987" s="1"/>
      <c r="N987" s="1"/>
      <c r="O987" s="1"/>
      <c r="P987" s="1" t="s">
        <v>21</v>
      </c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21.75" hidden="false" customHeight="true" outlineLevel="0" collapsed="false">
      <c r="A988" s="4" t="n">
        <v>43484</v>
      </c>
      <c r="B988" s="14" t="s">
        <v>14</v>
      </c>
      <c r="C988" s="14" t="s">
        <v>15</v>
      </c>
      <c r="D988" s="14" t="s">
        <v>16</v>
      </c>
      <c r="E988" s="14" t="s">
        <v>17</v>
      </c>
      <c r="F988" s="14" t="s">
        <v>2572</v>
      </c>
      <c r="G988" s="14" t="n">
        <f aca="false">+593982210470</f>
        <v>593982210470</v>
      </c>
      <c r="H988" s="14" t="s">
        <v>2573</v>
      </c>
      <c r="I988" s="14"/>
      <c r="J988" s="1"/>
      <c r="K988" s="1" t="s">
        <v>835</v>
      </c>
      <c r="L988" s="1"/>
      <c r="M988" s="1"/>
      <c r="N988" s="1"/>
      <c r="O988" s="1"/>
      <c r="P988" s="6" t="s">
        <v>126</v>
      </c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21.75" hidden="false" customHeight="true" outlineLevel="0" collapsed="false">
      <c r="A989" s="4" t="n">
        <v>43484</v>
      </c>
      <c r="B989" s="14" t="s">
        <v>14</v>
      </c>
      <c r="C989" s="14" t="s">
        <v>15</v>
      </c>
      <c r="D989" s="14" t="s">
        <v>16</v>
      </c>
      <c r="E989" s="14" t="s">
        <v>17</v>
      </c>
      <c r="F989" s="14" t="s">
        <v>2574</v>
      </c>
      <c r="G989" s="14" t="n">
        <f aca="false">+593997201518</f>
        <v>593997201518</v>
      </c>
      <c r="H989" s="14" t="s">
        <v>2575</v>
      </c>
      <c r="I989" s="14"/>
      <c r="J989" s="1"/>
      <c r="K989" s="1" t="s">
        <v>21</v>
      </c>
      <c r="L989" s="1"/>
      <c r="M989" s="1"/>
      <c r="N989" s="1"/>
      <c r="O989" s="1"/>
      <c r="P989" s="6" t="s">
        <v>21</v>
      </c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21.75" hidden="false" customHeight="true" outlineLevel="0" collapsed="false">
      <c r="A990" s="4" t="n">
        <v>43484</v>
      </c>
      <c r="B990" s="14" t="s">
        <v>14</v>
      </c>
      <c r="C990" s="14" t="s">
        <v>15</v>
      </c>
      <c r="D990" s="14" t="s">
        <v>16</v>
      </c>
      <c r="E990" s="14" t="s">
        <v>17</v>
      </c>
      <c r="F990" s="14" t="s">
        <v>2576</v>
      </c>
      <c r="G990" s="14" t="n">
        <f aca="false">+593984683864</f>
        <v>593984683864</v>
      </c>
      <c r="H990" s="14" t="s">
        <v>2577</v>
      </c>
      <c r="I990" s="14"/>
      <c r="J990" s="1"/>
      <c r="K990" s="1" t="s">
        <v>21</v>
      </c>
      <c r="L990" s="1"/>
      <c r="M990" s="1"/>
      <c r="N990" s="1"/>
      <c r="O990" s="1"/>
      <c r="P990" s="6" t="s">
        <v>21</v>
      </c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21.75" hidden="false" customHeight="true" outlineLevel="0" collapsed="false">
      <c r="A991" s="4" t="n">
        <v>43484</v>
      </c>
      <c r="B991" s="14" t="s">
        <v>14</v>
      </c>
      <c r="C991" s="14" t="s">
        <v>15</v>
      </c>
      <c r="D991" s="14" t="s">
        <v>16</v>
      </c>
      <c r="E991" s="14" t="s">
        <v>17</v>
      </c>
      <c r="F991" s="14" t="s">
        <v>2578</v>
      </c>
      <c r="G991" s="14" t="n">
        <f aca="false">+593982428948</f>
        <v>593982428948</v>
      </c>
      <c r="H991" s="14" t="s">
        <v>2579</v>
      </c>
      <c r="I991" s="14"/>
      <c r="J991" s="1"/>
      <c r="K991" s="1" t="s">
        <v>21</v>
      </c>
      <c r="L991" s="1"/>
      <c r="M991" s="1"/>
      <c r="N991" s="1"/>
      <c r="O991" s="1"/>
      <c r="P991" s="6" t="s">
        <v>21</v>
      </c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21.75" hidden="false" customHeight="true" outlineLevel="0" collapsed="false">
      <c r="A992" s="4" t="n">
        <v>43484</v>
      </c>
      <c r="B992" s="14" t="s">
        <v>14</v>
      </c>
      <c r="C992" s="14" t="s">
        <v>15</v>
      </c>
      <c r="D992" s="14" t="s">
        <v>16</v>
      </c>
      <c r="E992" s="14" t="s">
        <v>17</v>
      </c>
      <c r="F992" s="14" t="s">
        <v>2580</v>
      </c>
      <c r="G992" s="14" t="n">
        <f aca="false">+593996504284</f>
        <v>593996504284</v>
      </c>
      <c r="H992" s="14" t="s">
        <v>2581</v>
      </c>
      <c r="I992" s="14"/>
      <c r="J992" s="1"/>
      <c r="K992" s="1" t="s">
        <v>21</v>
      </c>
      <c r="L992" s="1"/>
      <c r="M992" s="1"/>
      <c r="N992" s="1"/>
      <c r="O992" s="1"/>
      <c r="P992" s="6" t="s">
        <v>21</v>
      </c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21.75" hidden="false" customHeight="true" outlineLevel="0" collapsed="false">
      <c r="A993" s="4" t="n">
        <v>43484</v>
      </c>
      <c r="B993" s="14" t="s">
        <v>14</v>
      </c>
      <c r="C993" s="14" t="s">
        <v>15</v>
      </c>
      <c r="D993" s="14" t="s">
        <v>16</v>
      </c>
      <c r="E993" s="14" t="s">
        <v>17</v>
      </c>
      <c r="F993" s="14" t="s">
        <v>2582</v>
      </c>
      <c r="G993" s="14" t="n">
        <f aca="false">+593968689758</f>
        <v>593968689758</v>
      </c>
      <c r="H993" s="14" t="s">
        <v>2583</v>
      </c>
      <c r="I993" s="14"/>
      <c r="J993" s="1"/>
      <c r="K993" s="1" t="s">
        <v>2584</v>
      </c>
      <c r="L993" s="1"/>
      <c r="M993" s="1"/>
      <c r="N993" s="1"/>
      <c r="O993" s="1"/>
      <c r="P993" s="6" t="s">
        <v>133</v>
      </c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21.75" hidden="false" customHeight="true" outlineLevel="0" collapsed="false">
      <c r="A994" s="4" t="n">
        <v>43484</v>
      </c>
      <c r="B994" s="14" t="s">
        <v>14</v>
      </c>
      <c r="C994" s="14" t="s">
        <v>15</v>
      </c>
      <c r="D994" s="14" t="s">
        <v>16</v>
      </c>
      <c r="E994" s="14" t="s">
        <v>17</v>
      </c>
      <c r="F994" s="14" t="s">
        <v>2585</v>
      </c>
      <c r="G994" s="14" t="n">
        <f aca="false">+593996315420</f>
        <v>593996315420</v>
      </c>
      <c r="H994" s="14" t="s">
        <v>2586</v>
      </c>
      <c r="I994" s="14"/>
      <c r="J994" s="1"/>
      <c r="K994" s="1" t="s">
        <v>496</v>
      </c>
      <c r="L994" s="1"/>
      <c r="M994" s="1"/>
      <c r="N994" s="1"/>
      <c r="O994" s="1"/>
      <c r="P994" s="6" t="s">
        <v>133</v>
      </c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21.75" hidden="false" customHeight="true" outlineLevel="0" collapsed="false">
      <c r="A995" s="4" t="n">
        <v>43484</v>
      </c>
      <c r="B995" s="8" t="s">
        <v>42</v>
      </c>
      <c r="C995" s="14" t="s">
        <v>15</v>
      </c>
      <c r="D995" s="14" t="s">
        <v>43</v>
      </c>
      <c r="E995" s="14" t="s">
        <v>44</v>
      </c>
      <c r="F995" s="14" t="s">
        <v>2587</v>
      </c>
      <c r="G995" s="14" t="n">
        <f aca="false">+593988966396</f>
        <v>593988966396</v>
      </c>
      <c r="H995" s="14" t="s">
        <v>2588</v>
      </c>
      <c r="I995" s="14"/>
      <c r="J995" s="1"/>
      <c r="K995" s="1" t="s">
        <v>21</v>
      </c>
      <c r="L995" s="1"/>
      <c r="M995" s="1"/>
      <c r="N995" s="1"/>
      <c r="O995" s="1"/>
      <c r="P995" s="6" t="s">
        <v>21</v>
      </c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21.75" hidden="false" customHeight="true" outlineLevel="0" collapsed="false">
      <c r="A996" s="4" t="n">
        <v>43484</v>
      </c>
      <c r="B996" s="8" t="s">
        <v>42</v>
      </c>
      <c r="C996" s="14" t="s">
        <v>15</v>
      </c>
      <c r="D996" s="14" t="s">
        <v>43</v>
      </c>
      <c r="E996" s="14" t="s">
        <v>44</v>
      </c>
      <c r="F996" s="14" t="s">
        <v>2589</v>
      </c>
      <c r="G996" s="14" t="n">
        <f aca="false">+593978939059</f>
        <v>593978939059</v>
      </c>
      <c r="H996" s="14" t="s">
        <v>2590</v>
      </c>
      <c r="I996" s="14"/>
      <c r="J996" s="1"/>
      <c r="K996" s="1" t="s">
        <v>21</v>
      </c>
      <c r="L996" s="1"/>
      <c r="M996" s="1"/>
      <c r="N996" s="1"/>
      <c r="O996" s="1"/>
      <c r="P996" s="6" t="s">
        <v>21</v>
      </c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21.75" hidden="false" customHeight="true" outlineLevel="0" collapsed="false">
      <c r="A997" s="4" t="n">
        <v>43484</v>
      </c>
      <c r="B997" s="8" t="s">
        <v>42</v>
      </c>
      <c r="C997" s="14" t="s">
        <v>15</v>
      </c>
      <c r="D997" s="14" t="s">
        <v>43</v>
      </c>
      <c r="E997" s="14" t="s">
        <v>44</v>
      </c>
      <c r="F997" s="14" t="s">
        <v>2591</v>
      </c>
      <c r="G997" s="14" t="n">
        <f aca="false">+593983535040</f>
        <v>593983535040</v>
      </c>
      <c r="H997" s="14" t="s">
        <v>2592</v>
      </c>
      <c r="I997" s="14"/>
      <c r="J997" s="1"/>
      <c r="K997" s="1" t="s">
        <v>21</v>
      </c>
      <c r="L997" s="1"/>
      <c r="M997" s="1"/>
      <c r="N997" s="1"/>
      <c r="O997" s="1"/>
      <c r="P997" s="6" t="s">
        <v>21</v>
      </c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21.75" hidden="false" customHeight="true" outlineLevel="0" collapsed="false">
      <c r="A998" s="4" t="n">
        <v>43484</v>
      </c>
      <c r="B998" s="8" t="s">
        <v>42</v>
      </c>
      <c r="C998" s="14" t="s">
        <v>15</v>
      </c>
      <c r="D998" s="14" t="s">
        <v>43</v>
      </c>
      <c r="E998" s="14" t="s">
        <v>44</v>
      </c>
      <c r="F998" s="19" t="s">
        <v>2593</v>
      </c>
      <c r="G998" s="18" t="n">
        <v>991277117</v>
      </c>
      <c r="H998" s="18" t="s">
        <v>2594</v>
      </c>
      <c r="I998" s="18"/>
      <c r="J998" s="1"/>
      <c r="K998" s="1" t="s">
        <v>21</v>
      </c>
      <c r="L998" s="1"/>
      <c r="M998" s="1"/>
      <c r="N998" s="1"/>
      <c r="O998" s="1"/>
      <c r="P998" s="6" t="s">
        <v>21</v>
      </c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21.75" hidden="false" customHeight="true" outlineLevel="0" collapsed="false">
      <c r="A999" s="4" t="n">
        <v>43484</v>
      </c>
      <c r="B999" s="8" t="s">
        <v>42</v>
      </c>
      <c r="C999" s="14" t="s">
        <v>15</v>
      </c>
      <c r="D999" s="14" t="s">
        <v>43</v>
      </c>
      <c r="E999" s="14" t="s">
        <v>109</v>
      </c>
      <c r="F999" s="14" t="s">
        <v>2466</v>
      </c>
      <c r="G999" s="14" t="n">
        <f aca="false">+593982953460</f>
        <v>593982953460</v>
      </c>
      <c r="H999" s="14" t="s">
        <v>2467</v>
      </c>
      <c r="I999" s="14"/>
      <c r="J999" s="1"/>
      <c r="K999" s="1" t="s">
        <v>21</v>
      </c>
      <c r="L999" s="1"/>
      <c r="M999" s="1"/>
      <c r="N999" s="1"/>
      <c r="O999" s="1"/>
      <c r="P999" s="6" t="s">
        <v>21</v>
      </c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21.75" hidden="false" customHeight="true" outlineLevel="0" collapsed="false">
      <c r="A1000" s="4" t="n">
        <v>43484</v>
      </c>
      <c r="B1000" s="8" t="s">
        <v>42</v>
      </c>
      <c r="C1000" s="14" t="s">
        <v>15</v>
      </c>
      <c r="D1000" s="14" t="s">
        <v>43</v>
      </c>
      <c r="E1000" s="14" t="s">
        <v>109</v>
      </c>
      <c r="F1000" s="14" t="s">
        <v>2595</v>
      </c>
      <c r="G1000" s="14" t="n">
        <f aca="false">+593988910978</f>
        <v>593988910978</v>
      </c>
      <c r="H1000" s="14" t="s">
        <v>2596</v>
      </c>
      <c r="I1000" s="14"/>
      <c r="J1000" s="1"/>
      <c r="K1000" s="1" t="s">
        <v>21</v>
      </c>
      <c r="L1000" s="1"/>
      <c r="M1000" s="1"/>
      <c r="N1000" s="1"/>
      <c r="O1000" s="1"/>
      <c r="P1000" s="6" t="s">
        <v>21</v>
      </c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Format="false" ht="21.75" hidden="false" customHeight="true" outlineLevel="0" collapsed="false">
      <c r="A1001" s="4" t="n">
        <v>43484</v>
      </c>
      <c r="B1001" s="14" t="s">
        <v>166</v>
      </c>
      <c r="C1001" s="14" t="s">
        <v>15</v>
      </c>
      <c r="D1001" s="14" t="s">
        <v>16</v>
      </c>
      <c r="E1001" s="14" t="s">
        <v>17</v>
      </c>
      <c r="F1001" s="14" t="s">
        <v>2597</v>
      </c>
      <c r="G1001" s="14" t="n">
        <f aca="false">+593994453652</f>
        <v>593994453652</v>
      </c>
      <c r="H1001" s="14" t="s">
        <v>2598</v>
      </c>
      <c r="I1001" s="14"/>
      <c r="J1001" s="1"/>
      <c r="K1001" s="1" t="s">
        <v>2599</v>
      </c>
      <c r="L1001" s="1"/>
      <c r="M1001" s="1"/>
      <c r="N1001" s="1"/>
      <c r="O1001" s="1"/>
      <c r="P1001" s="6" t="s">
        <v>2600</v>
      </c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Format="false" ht="21.75" hidden="false" customHeight="true" outlineLevel="0" collapsed="false">
      <c r="A1002" s="4" t="n">
        <v>43484</v>
      </c>
      <c r="B1002" s="14" t="s">
        <v>166</v>
      </c>
      <c r="C1002" s="14" t="s">
        <v>15</v>
      </c>
      <c r="D1002" s="14" t="s">
        <v>16</v>
      </c>
      <c r="E1002" s="14" t="s">
        <v>17</v>
      </c>
      <c r="F1002" s="14" t="s">
        <v>2601</v>
      </c>
      <c r="G1002" s="14" t="n">
        <f aca="false">+593987297826</f>
        <v>593987297826</v>
      </c>
      <c r="H1002" s="14" t="s">
        <v>2602</v>
      </c>
      <c r="I1002" s="14"/>
      <c r="J1002" s="1"/>
      <c r="K1002" s="1" t="s">
        <v>21</v>
      </c>
      <c r="L1002" s="1"/>
      <c r="M1002" s="1"/>
      <c r="N1002" s="1"/>
      <c r="O1002" s="1"/>
      <c r="P1002" s="6" t="s">
        <v>21</v>
      </c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Format="false" ht="21.75" hidden="false" customHeight="true" outlineLevel="0" collapsed="false">
      <c r="A1003" s="4" t="n">
        <v>43484</v>
      </c>
      <c r="B1003" s="14" t="s">
        <v>166</v>
      </c>
      <c r="C1003" s="14" t="s">
        <v>15</v>
      </c>
      <c r="D1003" s="14" t="s">
        <v>16</v>
      </c>
      <c r="E1003" s="14" t="s">
        <v>17</v>
      </c>
      <c r="F1003" s="14" t="s">
        <v>2603</v>
      </c>
      <c r="G1003" s="14" t="n">
        <f aca="false">+593982530601</f>
        <v>593982530601</v>
      </c>
      <c r="H1003" s="14" t="s">
        <v>2604</v>
      </c>
      <c r="I1003" s="14"/>
      <c r="J1003" s="1"/>
      <c r="K1003" s="1" t="s">
        <v>21</v>
      </c>
      <c r="L1003" s="1"/>
      <c r="M1003" s="1"/>
      <c r="N1003" s="1"/>
      <c r="O1003" s="1"/>
      <c r="P1003" s="6" t="s">
        <v>21</v>
      </c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Format="false" ht="21.75" hidden="false" customHeight="true" outlineLevel="0" collapsed="false">
      <c r="A1004" s="4" t="n">
        <v>43484</v>
      </c>
      <c r="B1004" s="14" t="s">
        <v>166</v>
      </c>
      <c r="C1004" s="14" t="s">
        <v>15</v>
      </c>
      <c r="D1004" s="14" t="s">
        <v>16</v>
      </c>
      <c r="E1004" s="14" t="s">
        <v>17</v>
      </c>
      <c r="F1004" s="14" t="s">
        <v>2605</v>
      </c>
      <c r="G1004" s="14" t="n">
        <f aca="false">+5930988602796</f>
        <v>5930988602796</v>
      </c>
      <c r="H1004" s="14" t="s">
        <v>2606</v>
      </c>
      <c r="I1004" s="14"/>
      <c r="J1004" s="1"/>
      <c r="K1004" s="1" t="s">
        <v>21</v>
      </c>
      <c r="L1004" s="1"/>
      <c r="M1004" s="1"/>
      <c r="N1004" s="1"/>
      <c r="O1004" s="1"/>
      <c r="P1004" s="6" t="s">
        <v>21</v>
      </c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customFormat="false" ht="21.75" hidden="false" customHeight="true" outlineLevel="0" collapsed="false">
      <c r="A1005" s="4" t="n">
        <v>43484</v>
      </c>
      <c r="B1005" s="14" t="s">
        <v>166</v>
      </c>
      <c r="C1005" s="14" t="s">
        <v>15</v>
      </c>
      <c r="D1005" s="14" t="s">
        <v>16</v>
      </c>
      <c r="E1005" s="14" t="s">
        <v>17</v>
      </c>
      <c r="F1005" s="14" t="s">
        <v>2607</v>
      </c>
      <c r="G1005" s="14" t="n">
        <f aca="false">+593992776924</f>
        <v>593992776924</v>
      </c>
      <c r="H1005" s="14" t="s">
        <v>2608</v>
      </c>
      <c r="I1005" s="14"/>
      <c r="J1005" s="1"/>
      <c r="K1005" s="1" t="s">
        <v>21</v>
      </c>
      <c r="L1005" s="1"/>
      <c r="M1005" s="1"/>
      <c r="N1005" s="1"/>
      <c r="O1005" s="1"/>
      <c r="P1005" s="6" t="s">
        <v>21</v>
      </c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customFormat="false" ht="21.75" hidden="false" customHeight="true" outlineLevel="0" collapsed="false">
      <c r="A1006" s="4" t="n">
        <v>43484</v>
      </c>
      <c r="B1006" s="14" t="s">
        <v>166</v>
      </c>
      <c r="C1006" s="14" t="s">
        <v>15</v>
      </c>
      <c r="D1006" s="14" t="s">
        <v>16</v>
      </c>
      <c r="E1006" s="14" t="s">
        <v>17</v>
      </c>
      <c r="F1006" s="14" t="s">
        <v>2609</v>
      </c>
      <c r="G1006" s="14" t="n">
        <f aca="false">+593959869821</f>
        <v>593959869821</v>
      </c>
      <c r="H1006" s="14" t="s">
        <v>2610</v>
      </c>
      <c r="I1006" s="14"/>
      <c r="J1006" s="1"/>
      <c r="K1006" s="1" t="s">
        <v>21</v>
      </c>
      <c r="L1006" s="1"/>
      <c r="M1006" s="1"/>
      <c r="N1006" s="1"/>
      <c r="O1006" s="1"/>
      <c r="P1006" s="6" t="s">
        <v>21</v>
      </c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customFormat="false" ht="21.75" hidden="false" customHeight="true" outlineLevel="0" collapsed="false">
      <c r="A1007" s="4" t="n">
        <v>43484</v>
      </c>
      <c r="B1007" s="14" t="s">
        <v>166</v>
      </c>
      <c r="C1007" s="14" t="s">
        <v>15</v>
      </c>
      <c r="D1007" s="14" t="s">
        <v>16</v>
      </c>
      <c r="E1007" s="14" t="s">
        <v>17</v>
      </c>
      <c r="F1007" s="14" t="s">
        <v>2611</v>
      </c>
      <c r="G1007" s="14" t="n">
        <f aca="false">+593990812359</f>
        <v>593990812359</v>
      </c>
      <c r="H1007" s="14" t="s">
        <v>2612</v>
      </c>
      <c r="I1007" s="14"/>
      <c r="J1007" s="1"/>
      <c r="K1007" s="1" t="s">
        <v>21</v>
      </c>
      <c r="L1007" s="1"/>
      <c r="M1007" s="1"/>
      <c r="N1007" s="1"/>
      <c r="O1007" s="1"/>
      <c r="P1007" s="6" t="s">
        <v>21</v>
      </c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customFormat="false" ht="21.75" hidden="false" customHeight="true" outlineLevel="0" collapsed="false">
      <c r="A1008" s="4" t="n">
        <v>43484</v>
      </c>
      <c r="B1008" s="14" t="s">
        <v>166</v>
      </c>
      <c r="C1008" s="14" t="s">
        <v>15</v>
      </c>
      <c r="D1008" s="14" t="s">
        <v>16</v>
      </c>
      <c r="E1008" s="14" t="s">
        <v>17</v>
      </c>
      <c r="F1008" s="14" t="s">
        <v>2613</v>
      </c>
      <c r="G1008" s="14" t="n">
        <f aca="false">+593993989688</f>
        <v>593993989688</v>
      </c>
      <c r="H1008" s="14" t="s">
        <v>2614</v>
      </c>
      <c r="I1008" s="14"/>
      <c r="J1008" s="1"/>
      <c r="K1008" s="1" t="s">
        <v>21</v>
      </c>
      <c r="L1008" s="1"/>
      <c r="M1008" s="1"/>
      <c r="N1008" s="1"/>
      <c r="O1008" s="1"/>
      <c r="P1008" s="6" t="s">
        <v>21</v>
      </c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customFormat="false" ht="21.75" hidden="false" customHeight="true" outlineLevel="0" collapsed="false">
      <c r="A1009" s="4" t="n">
        <v>43484</v>
      </c>
      <c r="B1009" s="14" t="s">
        <v>166</v>
      </c>
      <c r="C1009" s="14" t="s">
        <v>15</v>
      </c>
      <c r="D1009" s="14" t="s">
        <v>16</v>
      </c>
      <c r="E1009" s="14" t="s">
        <v>17</v>
      </c>
      <c r="F1009" s="14" t="s">
        <v>2615</v>
      </c>
      <c r="G1009" s="14" t="n">
        <f aca="false">+593993770057</f>
        <v>593993770057</v>
      </c>
      <c r="H1009" s="14" t="s">
        <v>2616</v>
      </c>
      <c r="I1009" s="14"/>
      <c r="J1009" s="1"/>
      <c r="K1009" s="1" t="s">
        <v>21</v>
      </c>
      <c r="L1009" s="1"/>
      <c r="M1009" s="1"/>
      <c r="N1009" s="1"/>
      <c r="O1009" s="1"/>
      <c r="P1009" s="6" t="s">
        <v>21</v>
      </c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customFormat="false" ht="21.75" hidden="false" customHeight="true" outlineLevel="0" collapsed="false">
      <c r="A1010" s="4" t="n">
        <v>43484</v>
      </c>
      <c r="B1010" s="14" t="s">
        <v>166</v>
      </c>
      <c r="C1010" s="14" t="s">
        <v>15</v>
      </c>
      <c r="D1010" s="14" t="s">
        <v>16</v>
      </c>
      <c r="E1010" s="14" t="s">
        <v>17</v>
      </c>
      <c r="F1010" s="14" t="s">
        <v>2617</v>
      </c>
      <c r="G1010" s="14" t="n">
        <f aca="false">+593993851161</f>
        <v>593993851161</v>
      </c>
      <c r="H1010" s="14" t="s">
        <v>2618</v>
      </c>
      <c r="I1010" s="14"/>
      <c r="J1010" s="1"/>
      <c r="K1010" s="1" t="s">
        <v>21</v>
      </c>
      <c r="L1010" s="1"/>
      <c r="M1010" s="1"/>
      <c r="N1010" s="1"/>
      <c r="O1010" s="1"/>
      <c r="P1010" s="6" t="s">
        <v>21</v>
      </c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customFormat="false" ht="21.75" hidden="false" customHeight="true" outlineLevel="0" collapsed="false">
      <c r="A1011" s="4" t="n">
        <v>43484</v>
      </c>
      <c r="B1011" s="14" t="s">
        <v>323</v>
      </c>
      <c r="C1011" s="14" t="s">
        <v>15</v>
      </c>
      <c r="D1011" s="14" t="s">
        <v>43</v>
      </c>
      <c r="E1011" s="14" t="s">
        <v>109</v>
      </c>
      <c r="F1011" s="14" t="s">
        <v>2619</v>
      </c>
      <c r="G1011" s="14" t="n">
        <f aca="false">+593992222243</f>
        <v>593992222243</v>
      </c>
      <c r="H1011" s="14" t="s">
        <v>2620</v>
      </c>
      <c r="I1011" s="14"/>
      <c r="J1011" s="1"/>
      <c r="K1011" s="1" t="s">
        <v>1857</v>
      </c>
      <c r="L1011" s="1"/>
      <c r="M1011" s="1"/>
      <c r="N1011" s="1"/>
      <c r="O1011" s="1"/>
      <c r="P1011" s="6" t="s">
        <v>21</v>
      </c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customFormat="false" ht="21.75" hidden="false" customHeight="true" outlineLevel="0" collapsed="false">
      <c r="A1012" s="4" t="n">
        <v>43484</v>
      </c>
      <c r="B1012" s="14" t="s">
        <v>1106</v>
      </c>
      <c r="C1012" s="14" t="s">
        <v>15</v>
      </c>
      <c r="D1012" s="14" t="s">
        <v>43</v>
      </c>
      <c r="E1012" s="14" t="s">
        <v>109</v>
      </c>
      <c r="F1012" s="14" t="s">
        <v>2621</v>
      </c>
      <c r="G1012" s="14" t="n">
        <f aca="false">+593985511260</f>
        <v>593985511260</v>
      </c>
      <c r="H1012" s="14" t="s">
        <v>2622</v>
      </c>
      <c r="I1012" s="14"/>
      <c r="J1012" s="1"/>
      <c r="K1012" s="1" t="s">
        <v>21</v>
      </c>
      <c r="L1012" s="1" t="s">
        <v>21</v>
      </c>
      <c r="M1012" s="1"/>
      <c r="N1012" s="1"/>
      <c r="O1012" s="1"/>
      <c r="P1012" s="6" t="s">
        <v>21</v>
      </c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customFormat="false" ht="21.75" hidden="false" customHeight="true" outlineLevel="0" collapsed="false">
      <c r="A1013" s="4" t="n">
        <v>43484</v>
      </c>
      <c r="B1013" s="14" t="s">
        <v>1106</v>
      </c>
      <c r="C1013" s="14" t="s">
        <v>15</v>
      </c>
      <c r="D1013" s="14" t="s">
        <v>43</v>
      </c>
      <c r="E1013" s="14" t="s">
        <v>109</v>
      </c>
      <c r="F1013" s="14" t="s">
        <v>2623</v>
      </c>
      <c r="G1013" s="14" t="n">
        <v>996639774</v>
      </c>
      <c r="H1013" s="14" t="s">
        <v>2624</v>
      </c>
      <c r="I1013" s="14"/>
      <c r="J1013" s="1"/>
      <c r="K1013" s="1" t="s">
        <v>2625</v>
      </c>
      <c r="L1013" s="1"/>
      <c r="M1013" s="1"/>
      <c r="N1013" s="1"/>
      <c r="O1013" s="1"/>
      <c r="P1013" s="6" t="s">
        <v>751</v>
      </c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customFormat="false" ht="21.75" hidden="false" customHeight="true" outlineLevel="0" collapsed="false">
      <c r="A1014" s="4" t="n">
        <v>43484</v>
      </c>
      <c r="B1014" s="14" t="s">
        <v>1106</v>
      </c>
      <c r="C1014" s="14" t="s">
        <v>15</v>
      </c>
      <c r="D1014" s="14" t="s">
        <v>43</v>
      </c>
      <c r="E1014" s="14" t="s">
        <v>109</v>
      </c>
      <c r="F1014" s="14" t="s">
        <v>2626</v>
      </c>
      <c r="G1014" s="14" t="n">
        <f aca="false">+593988777781</f>
        <v>593988777781</v>
      </c>
      <c r="H1014" s="14" t="s">
        <v>2627</v>
      </c>
      <c r="I1014" s="14"/>
      <c r="J1014" s="1"/>
      <c r="K1014" s="1" t="s">
        <v>2628</v>
      </c>
      <c r="L1014" s="1"/>
      <c r="M1014" s="1"/>
      <c r="N1014" s="1"/>
      <c r="O1014" s="1"/>
      <c r="P1014" s="6" t="s">
        <v>133</v>
      </c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customFormat="false" ht="21.75" hidden="false" customHeight="true" outlineLevel="0" collapsed="false">
      <c r="A1015" s="4" t="n">
        <v>43484</v>
      </c>
      <c r="B1015" s="14" t="s">
        <v>1831</v>
      </c>
      <c r="C1015" s="14" t="s">
        <v>15</v>
      </c>
      <c r="D1015" s="14" t="s">
        <v>43</v>
      </c>
      <c r="E1015" s="14" t="s">
        <v>109</v>
      </c>
      <c r="F1015" s="14" t="s">
        <v>2629</v>
      </c>
      <c r="G1015" s="14" t="n">
        <v>987299144</v>
      </c>
      <c r="H1015" s="14" t="s">
        <v>2630</v>
      </c>
      <c r="I1015" s="14"/>
      <c r="J1015" s="1"/>
      <c r="K1015" s="1" t="s">
        <v>1072</v>
      </c>
      <c r="L1015" s="1"/>
      <c r="M1015" s="1"/>
      <c r="N1015" s="1"/>
      <c r="O1015" s="1"/>
      <c r="P1015" s="6" t="s">
        <v>133</v>
      </c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customFormat="false" ht="21.75" hidden="false" customHeight="true" outlineLevel="0" collapsed="false">
      <c r="A1016" s="4" t="n">
        <v>43484</v>
      </c>
      <c r="B1016" s="14" t="s">
        <v>1831</v>
      </c>
      <c r="C1016" s="14" t="s">
        <v>15</v>
      </c>
      <c r="D1016" s="14" t="s">
        <v>43</v>
      </c>
      <c r="E1016" s="14" t="s">
        <v>109</v>
      </c>
      <c r="F1016" s="14" t="s">
        <v>2631</v>
      </c>
      <c r="G1016" s="14" t="n">
        <v>939088264</v>
      </c>
      <c r="H1016" s="14" t="s">
        <v>2632</v>
      </c>
      <c r="I1016" s="14"/>
      <c r="J1016" s="1"/>
      <c r="K1016" s="1" t="s">
        <v>21</v>
      </c>
      <c r="L1016" s="1"/>
      <c r="M1016" s="1"/>
      <c r="N1016" s="1"/>
      <c r="O1016" s="1"/>
      <c r="P1016" s="6" t="s">
        <v>21</v>
      </c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customFormat="false" ht="21.75" hidden="false" customHeight="true" outlineLevel="0" collapsed="false">
      <c r="A1017" s="4" t="n">
        <v>43484</v>
      </c>
      <c r="B1017" s="14" t="s">
        <v>1831</v>
      </c>
      <c r="C1017" s="14" t="s">
        <v>15</v>
      </c>
      <c r="D1017" s="14" t="s">
        <v>43</v>
      </c>
      <c r="E1017" s="14" t="s">
        <v>109</v>
      </c>
      <c r="F1017" s="14" t="s">
        <v>2633</v>
      </c>
      <c r="G1017" s="14" t="n">
        <f aca="false">+593987379290</f>
        <v>593987379290</v>
      </c>
      <c r="H1017" s="14" t="s">
        <v>2634</v>
      </c>
      <c r="I1017" s="14"/>
      <c r="J1017" s="1"/>
      <c r="K1017" s="1" t="s">
        <v>2635</v>
      </c>
      <c r="L1017" s="1"/>
      <c r="M1017" s="1"/>
      <c r="N1017" s="1"/>
      <c r="O1017" s="1"/>
      <c r="P1017" s="6" t="s">
        <v>133</v>
      </c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customFormat="false" ht="21.75" hidden="false" customHeight="true" outlineLevel="0" collapsed="false">
      <c r="A1018" s="4" t="n">
        <v>43484</v>
      </c>
      <c r="B1018" s="14" t="s">
        <v>1831</v>
      </c>
      <c r="C1018" s="14" t="s">
        <v>15</v>
      </c>
      <c r="D1018" s="14" t="s">
        <v>43</v>
      </c>
      <c r="E1018" s="14" t="s">
        <v>109</v>
      </c>
      <c r="F1018" s="14" t="s">
        <v>2636</v>
      </c>
      <c r="G1018" s="14" t="n">
        <f aca="false">+593992723131</f>
        <v>593992723131</v>
      </c>
      <c r="H1018" s="14" t="s">
        <v>2637</v>
      </c>
      <c r="I1018" s="14"/>
      <c r="J1018" s="1"/>
      <c r="K1018" s="1" t="s">
        <v>21</v>
      </c>
      <c r="L1018" s="1"/>
      <c r="M1018" s="1"/>
      <c r="N1018" s="1"/>
      <c r="O1018" s="1"/>
      <c r="P1018" s="6" t="s">
        <v>21</v>
      </c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customFormat="false" ht="21.75" hidden="false" customHeight="true" outlineLevel="0" collapsed="false">
      <c r="A1019" s="4" t="n">
        <v>43484</v>
      </c>
      <c r="B1019" s="14" t="s">
        <v>48</v>
      </c>
      <c r="C1019" s="14" t="s">
        <v>15</v>
      </c>
      <c r="D1019" s="14" t="s">
        <v>43</v>
      </c>
      <c r="E1019" s="14" t="s">
        <v>44</v>
      </c>
      <c r="F1019" s="14" t="s">
        <v>2638</v>
      </c>
      <c r="G1019" s="14" t="n">
        <f aca="false">+593989929931</f>
        <v>593989929931</v>
      </c>
      <c r="H1019" s="14" t="s">
        <v>2639</v>
      </c>
      <c r="I1019" s="14"/>
      <c r="J1019" s="1"/>
      <c r="K1019" s="1" t="s">
        <v>21</v>
      </c>
      <c r="L1019" s="1"/>
      <c r="M1019" s="1"/>
      <c r="N1019" s="1"/>
      <c r="O1019" s="1"/>
      <c r="P1019" s="6" t="s">
        <v>21</v>
      </c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customFormat="false" ht="21.75" hidden="false" customHeight="true" outlineLevel="0" collapsed="false">
      <c r="A1020" s="4" t="n">
        <v>43484</v>
      </c>
      <c r="B1020" s="14" t="s">
        <v>48</v>
      </c>
      <c r="C1020" s="14" t="s">
        <v>15</v>
      </c>
      <c r="D1020" s="14" t="s">
        <v>43</v>
      </c>
      <c r="E1020" s="14" t="s">
        <v>44</v>
      </c>
      <c r="F1020" s="14" t="s">
        <v>2640</v>
      </c>
      <c r="G1020" s="14" t="n">
        <f aca="false">+593999846790</f>
        <v>593999846790</v>
      </c>
      <c r="H1020" s="14" t="s">
        <v>2641</v>
      </c>
      <c r="I1020" s="14"/>
      <c r="J1020" s="1"/>
      <c r="K1020" s="1" t="s">
        <v>21</v>
      </c>
      <c r="L1020" s="1"/>
      <c r="M1020" s="1"/>
      <c r="N1020" s="1"/>
      <c r="O1020" s="1"/>
      <c r="P1020" s="6" t="s">
        <v>21</v>
      </c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customFormat="false" ht="21.75" hidden="false" customHeight="true" outlineLevel="0" collapsed="false">
      <c r="A1021" s="4" t="n">
        <v>43484</v>
      </c>
      <c r="B1021" s="14" t="s">
        <v>48</v>
      </c>
      <c r="C1021" s="14" t="s">
        <v>15</v>
      </c>
      <c r="D1021" s="14" t="s">
        <v>43</v>
      </c>
      <c r="E1021" s="14" t="s">
        <v>44</v>
      </c>
      <c r="F1021" s="14" t="s">
        <v>2642</v>
      </c>
      <c r="G1021" s="14" t="n">
        <f aca="false">+593993501061</f>
        <v>593993501061</v>
      </c>
      <c r="H1021" s="14" t="s">
        <v>2643</v>
      </c>
      <c r="I1021" s="14"/>
      <c r="J1021" s="1"/>
      <c r="K1021" s="1" t="s">
        <v>2644</v>
      </c>
      <c r="L1021" s="1"/>
      <c r="M1021" s="1"/>
      <c r="N1021" s="1"/>
      <c r="O1021" s="1"/>
      <c r="P1021" s="6" t="s">
        <v>133</v>
      </c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customFormat="false" ht="21.75" hidden="false" customHeight="true" outlineLevel="0" collapsed="false">
      <c r="A1022" s="4" t="n">
        <v>43484</v>
      </c>
      <c r="B1022" s="14" t="s">
        <v>48</v>
      </c>
      <c r="C1022" s="14" t="s">
        <v>15</v>
      </c>
      <c r="D1022" s="14" t="s">
        <v>43</v>
      </c>
      <c r="E1022" s="14" t="s">
        <v>44</v>
      </c>
      <c r="F1022" s="14" t="s">
        <v>2645</v>
      </c>
      <c r="G1022" s="14" t="n">
        <f aca="false">+593985549395</f>
        <v>593985549395</v>
      </c>
      <c r="H1022" s="14" t="s">
        <v>2646</v>
      </c>
      <c r="I1022" s="14"/>
      <c r="J1022" s="1"/>
      <c r="K1022" s="1" t="s">
        <v>21</v>
      </c>
      <c r="L1022" s="1"/>
      <c r="M1022" s="1"/>
      <c r="N1022" s="1"/>
      <c r="O1022" s="1"/>
      <c r="P1022" s="6" t="s">
        <v>21</v>
      </c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customFormat="false" ht="21.75" hidden="false" customHeight="true" outlineLevel="0" collapsed="false">
      <c r="A1023" s="4" t="n">
        <v>43484</v>
      </c>
      <c r="B1023" s="14" t="s">
        <v>48</v>
      </c>
      <c r="C1023" s="14" t="s">
        <v>15</v>
      </c>
      <c r="D1023" s="14" t="s">
        <v>43</v>
      </c>
      <c r="E1023" s="14" t="s">
        <v>44</v>
      </c>
      <c r="F1023" s="14" t="s">
        <v>2647</v>
      </c>
      <c r="G1023" s="14" t="n">
        <f aca="false">+593988471743</f>
        <v>593988471743</v>
      </c>
      <c r="H1023" s="14" t="s">
        <v>2648</v>
      </c>
      <c r="I1023" s="14"/>
      <c r="J1023" s="1"/>
      <c r="K1023" s="1" t="s">
        <v>21</v>
      </c>
      <c r="L1023" s="1"/>
      <c r="M1023" s="1"/>
      <c r="N1023" s="1"/>
      <c r="O1023" s="1"/>
      <c r="P1023" s="6" t="s">
        <v>21</v>
      </c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customFormat="false" ht="21.75" hidden="false" customHeight="true" outlineLevel="0" collapsed="false">
      <c r="A1024" s="4" t="n">
        <v>43484</v>
      </c>
      <c r="B1024" s="14" t="s">
        <v>48</v>
      </c>
      <c r="C1024" s="14" t="s">
        <v>15</v>
      </c>
      <c r="D1024" s="14" t="s">
        <v>43</v>
      </c>
      <c r="E1024" s="14" t="s">
        <v>44</v>
      </c>
      <c r="F1024" s="14" t="s">
        <v>2233</v>
      </c>
      <c r="G1024" s="14" t="n">
        <f aca="false">+593969630789</f>
        <v>593969630789</v>
      </c>
      <c r="H1024" s="14" t="s">
        <v>2234</v>
      </c>
      <c r="I1024" s="14"/>
      <c r="J1024" s="1"/>
      <c r="K1024" s="1" t="s">
        <v>21</v>
      </c>
      <c r="L1024" s="1"/>
      <c r="M1024" s="1"/>
      <c r="N1024" s="1"/>
      <c r="O1024" s="1"/>
      <c r="P1024" s="6" t="s">
        <v>21</v>
      </c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customFormat="false" ht="21.75" hidden="false" customHeight="true" outlineLevel="0" collapsed="false">
      <c r="A1025" s="4" t="n">
        <v>43484</v>
      </c>
      <c r="B1025" s="14" t="s">
        <v>48</v>
      </c>
      <c r="C1025" s="14" t="s">
        <v>15</v>
      </c>
      <c r="D1025" s="14" t="s">
        <v>43</v>
      </c>
      <c r="E1025" s="14" t="s">
        <v>44</v>
      </c>
      <c r="F1025" s="14" t="s">
        <v>2649</v>
      </c>
      <c r="G1025" s="14" t="n">
        <f aca="false">+5930986989056</f>
        <v>5930986989056</v>
      </c>
      <c r="H1025" s="14" t="s">
        <v>2650</v>
      </c>
      <c r="I1025" s="14"/>
      <c r="J1025" s="1"/>
      <c r="K1025" s="1" t="s">
        <v>2651</v>
      </c>
      <c r="L1025" s="1"/>
      <c r="M1025" s="1"/>
      <c r="N1025" s="1"/>
      <c r="O1025" s="1"/>
      <c r="P1025" s="6" t="s">
        <v>133</v>
      </c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customFormat="false" ht="21.75" hidden="false" customHeight="true" outlineLevel="0" collapsed="false">
      <c r="A1026" s="4" t="n">
        <v>43484</v>
      </c>
      <c r="B1026" s="14" t="s">
        <v>48</v>
      </c>
      <c r="C1026" s="14" t="s">
        <v>15</v>
      </c>
      <c r="D1026" s="14" t="s">
        <v>43</v>
      </c>
      <c r="E1026" s="14" t="s">
        <v>44</v>
      </c>
      <c r="F1026" s="14" t="s">
        <v>2652</v>
      </c>
      <c r="G1026" s="14" t="n">
        <f aca="false">+593998065242</f>
        <v>593998065242</v>
      </c>
      <c r="H1026" s="14" t="s">
        <v>2653</v>
      </c>
      <c r="I1026" s="14"/>
      <c r="J1026" s="1"/>
      <c r="K1026" s="1" t="s">
        <v>21</v>
      </c>
      <c r="L1026" s="1"/>
      <c r="M1026" s="1"/>
      <c r="N1026" s="1"/>
      <c r="O1026" s="1"/>
      <c r="P1026" s="6" t="s">
        <v>21</v>
      </c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customFormat="false" ht="21.75" hidden="false" customHeight="true" outlineLevel="0" collapsed="false">
      <c r="A1027" s="4" t="n">
        <v>43484</v>
      </c>
      <c r="B1027" s="14" t="s">
        <v>48</v>
      </c>
      <c r="C1027" s="14" t="s">
        <v>15</v>
      </c>
      <c r="D1027" s="14" t="s">
        <v>43</v>
      </c>
      <c r="E1027" s="14" t="s">
        <v>44</v>
      </c>
      <c r="F1027" s="19" t="s">
        <v>2441</v>
      </c>
      <c r="G1027" s="18" t="n">
        <v>968604899</v>
      </c>
      <c r="H1027" s="18" t="s">
        <v>2442</v>
      </c>
      <c r="I1027" s="18"/>
      <c r="J1027" s="1"/>
      <c r="K1027" s="1" t="s">
        <v>21</v>
      </c>
      <c r="L1027" s="1"/>
      <c r="M1027" s="1"/>
      <c r="N1027" s="1"/>
      <c r="O1027" s="1"/>
      <c r="P1027" s="6" t="s">
        <v>21</v>
      </c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customFormat="false" ht="21.75" hidden="false" customHeight="true" outlineLevel="0" collapsed="false">
      <c r="A1028" s="4" t="n">
        <v>43484</v>
      </c>
      <c r="B1028" s="14" t="s">
        <v>48</v>
      </c>
      <c r="C1028" s="14" t="s">
        <v>15</v>
      </c>
      <c r="D1028" s="14" t="s">
        <v>43</v>
      </c>
      <c r="E1028" s="14" t="s">
        <v>109</v>
      </c>
      <c r="F1028" s="14" t="s">
        <v>2654</v>
      </c>
      <c r="G1028" s="14" t="n">
        <f aca="false">+593989045078</f>
        <v>593989045078</v>
      </c>
      <c r="H1028" s="14" t="s">
        <v>2655</v>
      </c>
      <c r="I1028" s="14"/>
      <c r="J1028" s="1"/>
      <c r="K1028" s="1" t="s">
        <v>2656</v>
      </c>
      <c r="L1028" s="1"/>
      <c r="M1028" s="1"/>
      <c r="N1028" s="1"/>
      <c r="O1028" s="1"/>
      <c r="P1028" s="6" t="s">
        <v>21</v>
      </c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customFormat="false" ht="21.75" hidden="false" customHeight="true" outlineLevel="0" collapsed="false">
      <c r="A1029" s="4" t="n">
        <v>43484</v>
      </c>
      <c r="B1029" s="14" t="s">
        <v>48</v>
      </c>
      <c r="C1029" s="14" t="s">
        <v>15</v>
      </c>
      <c r="D1029" s="14" t="s">
        <v>43</v>
      </c>
      <c r="E1029" s="14" t="s">
        <v>109</v>
      </c>
      <c r="F1029" s="14" t="s">
        <v>2657</v>
      </c>
      <c r="G1029" s="14" t="n">
        <f aca="false">+593997239407</f>
        <v>593997239407</v>
      </c>
      <c r="H1029" s="14" t="s">
        <v>2658</v>
      </c>
      <c r="I1029" s="14"/>
      <c r="J1029" s="1"/>
      <c r="K1029" s="1" t="s">
        <v>2659</v>
      </c>
      <c r="L1029" s="1"/>
      <c r="M1029" s="1"/>
      <c r="N1029" s="1"/>
      <c r="O1029" s="1"/>
      <c r="P1029" s="6" t="s">
        <v>133</v>
      </c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customFormat="false" ht="21.75" hidden="false" customHeight="true" outlineLevel="0" collapsed="false">
      <c r="A1030" s="4" t="n">
        <v>43484</v>
      </c>
      <c r="B1030" s="14" t="s">
        <v>48</v>
      </c>
      <c r="C1030" s="14" t="s">
        <v>15</v>
      </c>
      <c r="D1030" s="14" t="s">
        <v>43</v>
      </c>
      <c r="E1030" s="14" t="s">
        <v>109</v>
      </c>
      <c r="F1030" s="14" t="s">
        <v>2660</v>
      </c>
      <c r="G1030" s="14" t="n">
        <f aca="false">+593993369159</f>
        <v>593993369159</v>
      </c>
      <c r="H1030" s="14" t="s">
        <v>2661</v>
      </c>
      <c r="I1030" s="14"/>
      <c r="J1030" s="1"/>
      <c r="K1030" s="1" t="s">
        <v>2662</v>
      </c>
      <c r="L1030" s="1"/>
      <c r="M1030" s="1"/>
      <c r="N1030" s="1"/>
      <c r="O1030" s="1"/>
      <c r="P1030" s="6" t="s">
        <v>133</v>
      </c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customFormat="false" ht="21.75" hidden="false" customHeight="true" outlineLevel="0" collapsed="false">
      <c r="A1031" s="4" t="n">
        <v>43484</v>
      </c>
      <c r="B1031" s="14" t="s">
        <v>48</v>
      </c>
      <c r="C1031" s="14" t="s">
        <v>26</v>
      </c>
      <c r="D1031" s="14" t="s">
        <v>43</v>
      </c>
      <c r="E1031" s="14" t="s">
        <v>109</v>
      </c>
      <c r="F1031" s="14" t="s">
        <v>2663</v>
      </c>
      <c r="G1031" s="14" t="n">
        <f aca="false">+5930986096427</f>
        <v>5930986096427</v>
      </c>
      <c r="H1031" s="14" t="s">
        <v>2664</v>
      </c>
      <c r="I1031" s="14"/>
      <c r="J1031" s="1"/>
      <c r="K1031" s="1" t="s">
        <v>2656</v>
      </c>
      <c r="L1031" s="1"/>
      <c r="M1031" s="1"/>
      <c r="N1031" s="1"/>
      <c r="O1031" s="1"/>
      <c r="P1031" s="6" t="s">
        <v>21</v>
      </c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customFormat="false" ht="21.75" hidden="false" customHeight="true" outlineLevel="0" collapsed="false">
      <c r="A1032" s="4" t="n">
        <v>43484</v>
      </c>
      <c r="B1032" s="14" t="s">
        <v>48</v>
      </c>
      <c r="C1032" s="14" t="s">
        <v>15</v>
      </c>
      <c r="D1032" s="14" t="s">
        <v>43</v>
      </c>
      <c r="E1032" s="14" t="s">
        <v>109</v>
      </c>
      <c r="F1032" s="14" t="s">
        <v>2665</v>
      </c>
      <c r="G1032" s="14" t="n">
        <f aca="false">+593968185463</f>
        <v>593968185463</v>
      </c>
      <c r="H1032" s="14" t="s">
        <v>2666</v>
      </c>
      <c r="I1032" s="14"/>
      <c r="J1032" s="1"/>
      <c r="K1032" s="1" t="s">
        <v>2656</v>
      </c>
      <c r="L1032" s="1"/>
      <c r="M1032" s="1"/>
      <c r="N1032" s="1"/>
      <c r="O1032" s="1"/>
      <c r="P1032" s="6" t="s">
        <v>21</v>
      </c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customFormat="false" ht="21.75" hidden="false" customHeight="true" outlineLevel="0" collapsed="false">
      <c r="A1033" s="4" t="n">
        <v>43484</v>
      </c>
      <c r="B1033" s="14" t="s">
        <v>48</v>
      </c>
      <c r="C1033" s="14" t="s">
        <v>15</v>
      </c>
      <c r="D1033" s="14" t="s">
        <v>43</v>
      </c>
      <c r="E1033" s="14" t="s">
        <v>109</v>
      </c>
      <c r="F1033" s="14" t="s">
        <v>2667</v>
      </c>
      <c r="G1033" s="14" t="n">
        <f aca="false">+5930980662414</f>
        <v>5930980662414</v>
      </c>
      <c r="H1033" s="14" t="s">
        <v>2668</v>
      </c>
      <c r="I1033" s="14"/>
      <c r="J1033" s="1"/>
      <c r="K1033" s="1" t="s">
        <v>2656</v>
      </c>
      <c r="L1033" s="1"/>
      <c r="M1033" s="1"/>
      <c r="N1033" s="1"/>
      <c r="O1033" s="1"/>
      <c r="P1033" s="6" t="s">
        <v>21</v>
      </c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customFormat="false" ht="21.75" hidden="false" customHeight="true" outlineLevel="0" collapsed="false">
      <c r="A1034" s="4" t="n">
        <v>43484</v>
      </c>
      <c r="B1034" s="14" t="s">
        <v>48</v>
      </c>
      <c r="C1034" s="14" t="s">
        <v>15</v>
      </c>
      <c r="D1034" s="14" t="s">
        <v>43</v>
      </c>
      <c r="E1034" s="14" t="s">
        <v>109</v>
      </c>
      <c r="F1034" s="14" t="s">
        <v>2669</v>
      </c>
      <c r="G1034" s="14" t="n">
        <f aca="false">+5930989198454</f>
        <v>5930989198454</v>
      </c>
      <c r="H1034" s="14" t="s">
        <v>2670</v>
      </c>
      <c r="I1034" s="14"/>
      <c r="J1034" s="1"/>
      <c r="K1034" s="1" t="s">
        <v>2656</v>
      </c>
      <c r="L1034" s="1"/>
      <c r="M1034" s="1"/>
      <c r="N1034" s="1"/>
      <c r="O1034" s="1"/>
      <c r="P1034" s="6" t="s">
        <v>21</v>
      </c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customFormat="false" ht="21.75" hidden="false" customHeight="true" outlineLevel="0" collapsed="false">
      <c r="A1035" s="4" t="n">
        <v>43484</v>
      </c>
      <c r="B1035" s="14" t="s">
        <v>48</v>
      </c>
      <c r="C1035" s="14" t="s">
        <v>15</v>
      </c>
      <c r="D1035" s="14" t="s">
        <v>43</v>
      </c>
      <c r="E1035" s="14" t="s">
        <v>109</v>
      </c>
      <c r="F1035" s="14" t="s">
        <v>2671</v>
      </c>
      <c r="G1035" s="14" t="n">
        <f aca="false">+593990289105</f>
        <v>593990289105</v>
      </c>
      <c r="H1035" s="14" t="s">
        <v>2672</v>
      </c>
      <c r="I1035" s="14"/>
      <c r="J1035" s="1"/>
      <c r="K1035" s="1" t="s">
        <v>21</v>
      </c>
      <c r="L1035" s="1"/>
      <c r="M1035" s="1"/>
      <c r="N1035" s="1"/>
      <c r="O1035" s="1"/>
      <c r="P1035" s="6" t="s">
        <v>21</v>
      </c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customFormat="false" ht="21.75" hidden="false" customHeight="true" outlineLevel="0" collapsed="false">
      <c r="A1036" s="4" t="n">
        <v>43484</v>
      </c>
      <c r="B1036" s="14" t="s">
        <v>48</v>
      </c>
      <c r="C1036" s="14" t="s">
        <v>15</v>
      </c>
      <c r="D1036" s="14" t="s">
        <v>43</v>
      </c>
      <c r="E1036" s="14" t="s">
        <v>109</v>
      </c>
      <c r="F1036" s="14" t="s">
        <v>2673</v>
      </c>
      <c r="G1036" s="14" t="n">
        <f aca="false">+593939330363</f>
        <v>593939330363</v>
      </c>
      <c r="H1036" s="14" t="s">
        <v>2674</v>
      </c>
      <c r="I1036" s="14"/>
      <c r="J1036" s="1"/>
      <c r="K1036" s="1" t="s">
        <v>21</v>
      </c>
      <c r="L1036" s="1"/>
      <c r="M1036" s="1"/>
      <c r="N1036" s="1"/>
      <c r="O1036" s="1"/>
      <c r="P1036" s="6" t="s">
        <v>21</v>
      </c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customFormat="false" ht="21.75" hidden="false" customHeight="true" outlineLevel="0" collapsed="false">
      <c r="A1037" s="4" t="n">
        <v>43484</v>
      </c>
      <c r="B1037" s="14" t="s">
        <v>48</v>
      </c>
      <c r="C1037" s="14" t="s">
        <v>15</v>
      </c>
      <c r="D1037" s="14" t="s">
        <v>43</v>
      </c>
      <c r="E1037" s="14" t="s">
        <v>109</v>
      </c>
      <c r="F1037" s="14" t="s">
        <v>2675</v>
      </c>
      <c r="G1037" s="14" t="n">
        <f aca="false">+593989566920</f>
        <v>593989566920</v>
      </c>
      <c r="H1037" s="14" t="s">
        <v>2676</v>
      </c>
      <c r="I1037" s="14"/>
      <c r="J1037" s="1"/>
      <c r="K1037" s="1" t="s">
        <v>21</v>
      </c>
      <c r="L1037" s="1"/>
      <c r="M1037" s="1"/>
      <c r="N1037" s="1"/>
      <c r="O1037" s="1"/>
      <c r="P1037" s="6" t="s">
        <v>21</v>
      </c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customFormat="false" ht="21.75" hidden="false" customHeight="true" outlineLevel="0" collapsed="false">
      <c r="A1038" s="4" t="n">
        <v>43484</v>
      </c>
      <c r="B1038" s="14" t="s">
        <v>48</v>
      </c>
      <c r="C1038" s="14" t="s">
        <v>15</v>
      </c>
      <c r="D1038" s="14" t="s">
        <v>43</v>
      </c>
      <c r="E1038" s="14" t="s">
        <v>109</v>
      </c>
      <c r="F1038" s="14" t="s">
        <v>2677</v>
      </c>
      <c r="G1038" s="14" t="n">
        <f aca="false">+5930989175891</f>
        <v>5930989175891</v>
      </c>
      <c r="H1038" s="14" t="s">
        <v>2678</v>
      </c>
      <c r="I1038" s="14"/>
      <c r="J1038" s="1"/>
      <c r="K1038" s="1" t="s">
        <v>21</v>
      </c>
      <c r="L1038" s="1"/>
      <c r="M1038" s="1"/>
      <c r="N1038" s="1"/>
      <c r="O1038" s="1"/>
      <c r="P1038" s="6" t="s">
        <v>21</v>
      </c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customFormat="false" ht="21.75" hidden="false" customHeight="true" outlineLevel="0" collapsed="false">
      <c r="A1039" s="4" t="n">
        <v>43484</v>
      </c>
      <c r="B1039" s="14" t="s">
        <v>48</v>
      </c>
      <c r="C1039" s="14" t="s">
        <v>15</v>
      </c>
      <c r="D1039" s="14" t="s">
        <v>43</v>
      </c>
      <c r="E1039" s="14" t="s">
        <v>109</v>
      </c>
      <c r="F1039" s="14" t="s">
        <v>2679</v>
      </c>
      <c r="G1039" s="14" t="n">
        <f aca="false">+5930982302041</f>
        <v>5930982302041</v>
      </c>
      <c r="H1039" s="14" t="s">
        <v>2680</v>
      </c>
      <c r="I1039" s="14"/>
      <c r="J1039" s="1"/>
      <c r="K1039" s="1" t="s">
        <v>21</v>
      </c>
      <c r="L1039" s="1"/>
      <c r="M1039" s="1"/>
      <c r="N1039" s="1"/>
      <c r="O1039" s="1"/>
      <c r="P1039" s="6" t="s">
        <v>21</v>
      </c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customFormat="false" ht="21.75" hidden="false" customHeight="true" outlineLevel="0" collapsed="false">
      <c r="A1040" s="4" t="n">
        <v>43484</v>
      </c>
      <c r="B1040" s="14" t="s">
        <v>48</v>
      </c>
      <c r="C1040" s="14" t="s">
        <v>15</v>
      </c>
      <c r="D1040" s="14" t="s">
        <v>43</v>
      </c>
      <c r="E1040" s="14" t="s">
        <v>109</v>
      </c>
      <c r="F1040" s="14" t="s">
        <v>2681</v>
      </c>
      <c r="G1040" s="14" t="n">
        <f aca="false">+593967532636</f>
        <v>593967532636</v>
      </c>
      <c r="H1040" s="14" t="s">
        <v>2682</v>
      </c>
      <c r="I1040" s="14"/>
      <c r="J1040" s="1"/>
      <c r="K1040" s="1" t="s">
        <v>21</v>
      </c>
      <c r="L1040" s="1"/>
      <c r="M1040" s="1"/>
      <c r="N1040" s="1"/>
      <c r="O1040" s="1"/>
      <c r="P1040" s="6" t="s">
        <v>21</v>
      </c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customFormat="false" ht="21.75" hidden="false" customHeight="true" outlineLevel="0" collapsed="false">
      <c r="A1041" s="4" t="n">
        <v>43484</v>
      </c>
      <c r="B1041" s="14" t="s">
        <v>48</v>
      </c>
      <c r="C1041" s="14" t="s">
        <v>15</v>
      </c>
      <c r="D1041" s="14" t="s">
        <v>43</v>
      </c>
      <c r="E1041" s="14" t="s">
        <v>109</v>
      </c>
      <c r="F1041" s="14" t="s">
        <v>2683</v>
      </c>
      <c r="G1041" s="14" t="n">
        <f aca="false">+593997615804</f>
        <v>593997615804</v>
      </c>
      <c r="H1041" s="14" t="s">
        <v>2684</v>
      </c>
      <c r="I1041" s="14"/>
      <c r="J1041" s="1"/>
      <c r="K1041" s="1" t="s">
        <v>21</v>
      </c>
      <c r="L1041" s="1"/>
      <c r="M1041" s="1"/>
      <c r="N1041" s="1"/>
      <c r="O1041" s="1"/>
      <c r="P1041" s="6" t="s">
        <v>21</v>
      </c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customFormat="false" ht="21.75" hidden="false" customHeight="true" outlineLevel="0" collapsed="false">
      <c r="A1042" s="4" t="n">
        <v>43484</v>
      </c>
      <c r="B1042" s="14" t="s">
        <v>48</v>
      </c>
      <c r="C1042" s="14" t="s">
        <v>15</v>
      </c>
      <c r="D1042" s="14" t="s">
        <v>43</v>
      </c>
      <c r="E1042" s="14" t="s">
        <v>109</v>
      </c>
      <c r="F1042" s="14" t="s">
        <v>2685</v>
      </c>
      <c r="G1042" s="14" t="n">
        <f aca="false">+593995260799</f>
        <v>593995260799</v>
      </c>
      <c r="H1042" s="14" t="s">
        <v>2686</v>
      </c>
      <c r="I1042" s="14"/>
      <c r="J1042" s="1"/>
      <c r="K1042" s="1" t="s">
        <v>21</v>
      </c>
      <c r="L1042" s="1"/>
      <c r="M1042" s="1"/>
      <c r="N1042" s="1"/>
      <c r="O1042" s="1"/>
      <c r="P1042" s="6" t="s">
        <v>21</v>
      </c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customFormat="false" ht="21.75" hidden="false" customHeight="true" outlineLevel="0" collapsed="false">
      <c r="A1043" s="4" t="n">
        <v>43484</v>
      </c>
      <c r="B1043" s="14" t="s">
        <v>48</v>
      </c>
      <c r="C1043" s="14" t="s">
        <v>15</v>
      </c>
      <c r="D1043" s="14" t="s">
        <v>43</v>
      </c>
      <c r="E1043" s="14" t="s">
        <v>109</v>
      </c>
      <c r="F1043" s="14" t="s">
        <v>2687</v>
      </c>
      <c r="G1043" s="14" t="n">
        <f aca="false">+593993880743</f>
        <v>593993880743</v>
      </c>
      <c r="H1043" s="14" t="s">
        <v>2688</v>
      </c>
      <c r="I1043" s="14"/>
      <c r="J1043" s="1"/>
      <c r="K1043" s="1" t="s">
        <v>21</v>
      </c>
      <c r="L1043" s="1"/>
      <c r="M1043" s="1"/>
      <c r="N1043" s="1"/>
      <c r="O1043" s="1"/>
      <c r="P1043" s="6" t="s">
        <v>21</v>
      </c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customFormat="false" ht="21.75" hidden="false" customHeight="true" outlineLevel="0" collapsed="false">
      <c r="A1044" s="4" t="n">
        <v>43484</v>
      </c>
      <c r="B1044" s="14" t="s">
        <v>48</v>
      </c>
      <c r="C1044" s="14" t="s">
        <v>15</v>
      </c>
      <c r="D1044" s="14" t="s">
        <v>43</v>
      </c>
      <c r="E1044" s="14" t="s">
        <v>109</v>
      </c>
      <c r="F1044" s="14" t="s">
        <v>2689</v>
      </c>
      <c r="G1044" s="14" t="n">
        <f aca="false">+593968014828</f>
        <v>593968014828</v>
      </c>
      <c r="H1044" s="14" t="s">
        <v>2690</v>
      </c>
      <c r="I1044" s="14"/>
      <c r="J1044" s="1"/>
      <c r="K1044" s="1" t="s">
        <v>21</v>
      </c>
      <c r="L1044" s="1"/>
      <c r="M1044" s="1"/>
      <c r="N1044" s="1"/>
      <c r="O1044" s="1"/>
      <c r="P1044" s="6" t="s">
        <v>21</v>
      </c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customFormat="false" ht="21.75" hidden="false" customHeight="true" outlineLevel="0" collapsed="false">
      <c r="A1045" s="4" t="n">
        <v>43484</v>
      </c>
      <c r="B1045" s="14" t="s">
        <v>48</v>
      </c>
      <c r="C1045" s="14" t="s">
        <v>15</v>
      </c>
      <c r="D1045" s="14" t="s">
        <v>43</v>
      </c>
      <c r="E1045" s="14" t="s">
        <v>109</v>
      </c>
      <c r="F1045" s="14" t="s">
        <v>2691</v>
      </c>
      <c r="G1045" s="14" t="n">
        <f aca="false">+593960153056</f>
        <v>593960153056</v>
      </c>
      <c r="H1045" s="14" t="s">
        <v>2692</v>
      </c>
      <c r="I1045" s="14"/>
      <c r="J1045" s="1"/>
      <c r="K1045" s="1" t="s">
        <v>21</v>
      </c>
      <c r="L1045" s="1"/>
      <c r="M1045" s="1"/>
      <c r="N1045" s="1"/>
      <c r="O1045" s="1"/>
      <c r="P1045" s="6" t="s">
        <v>21</v>
      </c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customFormat="false" ht="21.75" hidden="false" customHeight="true" outlineLevel="0" collapsed="false">
      <c r="A1046" s="4" t="n">
        <v>43484</v>
      </c>
      <c r="B1046" s="14" t="s">
        <v>48</v>
      </c>
      <c r="C1046" s="14" t="s">
        <v>15</v>
      </c>
      <c r="D1046" s="14" t="s">
        <v>43</v>
      </c>
      <c r="E1046" s="14" t="s">
        <v>109</v>
      </c>
      <c r="F1046" s="14" t="s">
        <v>2693</v>
      </c>
      <c r="G1046" s="14" t="n">
        <f aca="false">+593984943930</f>
        <v>593984943930</v>
      </c>
      <c r="H1046" s="14" t="s">
        <v>2694</v>
      </c>
      <c r="I1046" s="14"/>
      <c r="J1046" s="1"/>
      <c r="K1046" s="1" t="s">
        <v>21</v>
      </c>
      <c r="L1046" s="1"/>
      <c r="M1046" s="1"/>
      <c r="N1046" s="1"/>
      <c r="O1046" s="1"/>
      <c r="P1046" s="6" t="s">
        <v>21</v>
      </c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customFormat="false" ht="21.75" hidden="false" customHeight="true" outlineLevel="0" collapsed="false">
      <c r="A1047" s="4" t="n">
        <v>43484</v>
      </c>
      <c r="B1047" s="14" t="s">
        <v>48</v>
      </c>
      <c r="C1047" s="14" t="s">
        <v>15</v>
      </c>
      <c r="D1047" s="14" t="s">
        <v>43</v>
      </c>
      <c r="E1047" s="14" t="s">
        <v>109</v>
      </c>
      <c r="F1047" s="14" t="s">
        <v>2695</v>
      </c>
      <c r="G1047" s="14" t="n">
        <f aca="false">+593968881624</f>
        <v>593968881624</v>
      </c>
      <c r="H1047" s="14" t="s">
        <v>2696</v>
      </c>
      <c r="I1047" s="14"/>
      <c r="J1047" s="1"/>
      <c r="K1047" s="1" t="s">
        <v>21</v>
      </c>
      <c r="L1047" s="1"/>
      <c r="M1047" s="1"/>
      <c r="N1047" s="1"/>
      <c r="O1047" s="1"/>
      <c r="P1047" s="6" t="s">
        <v>21</v>
      </c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customFormat="false" ht="21.75" hidden="false" customHeight="true" outlineLevel="0" collapsed="false">
      <c r="A1048" s="4" t="n">
        <v>43484</v>
      </c>
      <c r="B1048" s="14" t="s">
        <v>48</v>
      </c>
      <c r="C1048" s="14" t="s">
        <v>15</v>
      </c>
      <c r="D1048" s="14" t="s">
        <v>43</v>
      </c>
      <c r="E1048" s="14" t="s">
        <v>109</v>
      </c>
      <c r="F1048" s="18" t="s">
        <v>2697</v>
      </c>
      <c r="G1048" s="18" t="n">
        <v>985467422</v>
      </c>
      <c r="H1048" s="18" t="s">
        <v>2698</v>
      </c>
      <c r="I1048" s="18"/>
      <c r="J1048" s="1"/>
      <c r="K1048" s="1" t="s">
        <v>21</v>
      </c>
      <c r="L1048" s="1"/>
      <c r="M1048" s="1"/>
      <c r="N1048" s="1"/>
      <c r="O1048" s="1"/>
      <c r="P1048" s="6" t="s">
        <v>21</v>
      </c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customFormat="false" ht="21.75" hidden="false" customHeight="true" outlineLevel="0" collapsed="false">
      <c r="A1049" s="4" t="n">
        <v>43484</v>
      </c>
      <c r="B1049" s="14" t="s">
        <v>48</v>
      </c>
      <c r="C1049" s="14" t="s">
        <v>15</v>
      </c>
      <c r="D1049" s="14" t="s">
        <v>43</v>
      </c>
      <c r="E1049" s="14" t="s">
        <v>109</v>
      </c>
      <c r="F1049" s="19" t="s">
        <v>2699</v>
      </c>
      <c r="G1049" s="18" t="n">
        <v>960601714</v>
      </c>
      <c r="H1049" s="18" t="s">
        <v>2700</v>
      </c>
      <c r="I1049" s="18"/>
      <c r="J1049" s="1"/>
      <c r="K1049" s="1" t="s">
        <v>21</v>
      </c>
      <c r="L1049" s="1"/>
      <c r="M1049" s="1"/>
      <c r="N1049" s="1"/>
      <c r="O1049" s="1"/>
      <c r="P1049" s="6" t="s">
        <v>21</v>
      </c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customFormat="false" ht="21.75" hidden="false" customHeight="true" outlineLevel="0" collapsed="false">
      <c r="A1050" s="4" t="n">
        <v>43484</v>
      </c>
      <c r="B1050" s="14" t="s">
        <v>532</v>
      </c>
      <c r="C1050" s="14" t="s">
        <v>15</v>
      </c>
      <c r="D1050" s="14" t="s">
        <v>43</v>
      </c>
      <c r="E1050" s="14" t="s">
        <v>109</v>
      </c>
      <c r="F1050" s="14" t="s">
        <v>2701</v>
      </c>
      <c r="G1050" s="14" t="n">
        <f aca="false">+593969974877</f>
        <v>593969974877</v>
      </c>
      <c r="H1050" s="14" t="s">
        <v>2702</v>
      </c>
      <c r="I1050" s="14"/>
      <c r="J1050" s="1"/>
      <c r="K1050" s="1" t="s">
        <v>21</v>
      </c>
      <c r="L1050" s="1"/>
      <c r="M1050" s="1"/>
      <c r="N1050" s="1"/>
      <c r="O1050" s="1"/>
      <c r="P1050" s="6" t="s">
        <v>21</v>
      </c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customFormat="false" ht="21.75" hidden="false" customHeight="true" outlineLevel="0" collapsed="false">
      <c r="A1051" s="4" t="n">
        <v>43484</v>
      </c>
      <c r="B1051" s="14" t="s">
        <v>532</v>
      </c>
      <c r="C1051" s="14" t="s">
        <v>26</v>
      </c>
      <c r="D1051" s="14" t="s">
        <v>43</v>
      </c>
      <c r="E1051" s="14" t="s">
        <v>109</v>
      </c>
      <c r="F1051" s="14" t="s">
        <v>2703</v>
      </c>
      <c r="G1051" s="14" t="n">
        <f aca="false">+593989748598</f>
        <v>593989748598</v>
      </c>
      <c r="H1051" s="14" t="s">
        <v>2704</v>
      </c>
      <c r="I1051" s="14"/>
      <c r="J1051" s="1"/>
      <c r="K1051" s="1" t="s">
        <v>2705</v>
      </c>
      <c r="L1051" s="1"/>
      <c r="M1051" s="1"/>
      <c r="N1051" s="1"/>
      <c r="O1051" s="1"/>
      <c r="P1051" s="6" t="s">
        <v>751</v>
      </c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customFormat="false" ht="21.75" hidden="false" customHeight="true" outlineLevel="0" collapsed="false">
      <c r="A1052" s="4" t="n">
        <v>43484</v>
      </c>
      <c r="B1052" s="14" t="s">
        <v>127</v>
      </c>
      <c r="C1052" s="14" t="s">
        <v>15</v>
      </c>
      <c r="D1052" s="14" t="s">
        <v>43</v>
      </c>
      <c r="E1052" s="14" t="s">
        <v>44</v>
      </c>
      <c r="F1052" s="14" t="s">
        <v>2706</v>
      </c>
      <c r="G1052" s="14" t="n">
        <f aca="false">+5930984743057</f>
        <v>5930984743057</v>
      </c>
      <c r="H1052" s="14" t="s">
        <v>2707</v>
      </c>
      <c r="I1052" s="14"/>
      <c r="J1052" s="1"/>
      <c r="K1052" s="1" t="s">
        <v>21</v>
      </c>
      <c r="L1052" s="1"/>
      <c r="M1052" s="1"/>
      <c r="N1052" s="1"/>
      <c r="O1052" s="1"/>
      <c r="P1052" s="6" t="s">
        <v>21</v>
      </c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customFormat="false" ht="21.75" hidden="false" customHeight="true" outlineLevel="0" collapsed="false">
      <c r="A1053" s="4" t="n">
        <v>43484</v>
      </c>
      <c r="B1053" s="14" t="s">
        <v>127</v>
      </c>
      <c r="C1053" s="14" t="s">
        <v>15</v>
      </c>
      <c r="D1053" s="14" t="s">
        <v>43</v>
      </c>
      <c r="E1053" s="14" t="s">
        <v>109</v>
      </c>
      <c r="F1053" s="14" t="s">
        <v>2708</v>
      </c>
      <c r="G1053" s="14" t="n">
        <f aca="false">+593959579453</f>
        <v>593959579453</v>
      </c>
      <c r="H1053" s="14" t="s">
        <v>2709</v>
      </c>
      <c r="I1053" s="14"/>
      <c r="J1053" s="1"/>
      <c r="K1053" s="1" t="s">
        <v>21</v>
      </c>
      <c r="L1053" s="1"/>
      <c r="M1053" s="1"/>
      <c r="N1053" s="1"/>
      <c r="O1053" s="1"/>
      <c r="P1053" s="6" t="s">
        <v>21</v>
      </c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customFormat="false" ht="21.75" hidden="false" customHeight="true" outlineLevel="0" collapsed="false">
      <c r="A1054" s="4" t="n">
        <v>43484</v>
      </c>
      <c r="B1054" s="14" t="s">
        <v>127</v>
      </c>
      <c r="C1054" s="14" t="s">
        <v>15</v>
      </c>
      <c r="D1054" s="14" t="s">
        <v>43</v>
      </c>
      <c r="E1054" s="14" t="s">
        <v>109</v>
      </c>
      <c r="F1054" s="14" t="s">
        <v>2710</v>
      </c>
      <c r="G1054" s="14" t="n">
        <f aca="false">+593988599074</f>
        <v>593988599074</v>
      </c>
      <c r="H1054" s="14" t="s">
        <v>2711</v>
      </c>
      <c r="I1054" s="14"/>
      <c r="J1054" s="1"/>
      <c r="K1054" s="1" t="s">
        <v>2446</v>
      </c>
      <c r="L1054" s="1"/>
      <c r="M1054" s="1"/>
      <c r="N1054" s="1"/>
      <c r="O1054" s="1"/>
      <c r="P1054" s="6" t="s">
        <v>751</v>
      </c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customFormat="false" ht="21.75" hidden="false" customHeight="true" outlineLevel="0" collapsed="false">
      <c r="A1055" s="4" t="n">
        <v>43484</v>
      </c>
      <c r="B1055" s="14" t="s">
        <v>127</v>
      </c>
      <c r="C1055" s="14" t="s">
        <v>15</v>
      </c>
      <c r="D1055" s="14" t="s">
        <v>43</v>
      </c>
      <c r="E1055" s="14" t="s">
        <v>109</v>
      </c>
      <c r="F1055" s="14" t="s">
        <v>2712</v>
      </c>
      <c r="G1055" s="14" t="n">
        <f aca="false">+593980815797</f>
        <v>593980815797</v>
      </c>
      <c r="H1055" s="14" t="s">
        <v>2713</v>
      </c>
      <c r="I1055" s="14"/>
      <c r="J1055" s="1"/>
      <c r="K1055" s="1" t="s">
        <v>2714</v>
      </c>
      <c r="L1055" s="1"/>
      <c r="M1055" s="1"/>
      <c r="N1055" s="1"/>
      <c r="O1055" s="1"/>
      <c r="P1055" s="6" t="s">
        <v>31</v>
      </c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customFormat="false" ht="21.75" hidden="false" customHeight="true" outlineLevel="0" collapsed="false">
      <c r="A1056" s="4" t="n">
        <v>43484</v>
      </c>
      <c r="B1056" s="14" t="s">
        <v>127</v>
      </c>
      <c r="C1056" s="14" t="s">
        <v>15</v>
      </c>
      <c r="D1056" s="14" t="s">
        <v>43</v>
      </c>
      <c r="E1056" s="14" t="s">
        <v>109</v>
      </c>
      <c r="F1056" s="14" t="s">
        <v>2715</v>
      </c>
      <c r="G1056" s="14" t="n">
        <f aca="false">+593981784781</f>
        <v>593981784781</v>
      </c>
      <c r="H1056" s="14" t="s">
        <v>2716</v>
      </c>
      <c r="I1056" s="14"/>
      <c r="J1056" s="1"/>
      <c r="K1056" s="1" t="s">
        <v>21</v>
      </c>
      <c r="L1056" s="1"/>
      <c r="M1056" s="1"/>
      <c r="N1056" s="1"/>
      <c r="O1056" s="1"/>
      <c r="P1056" s="6" t="s">
        <v>21</v>
      </c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customFormat="false" ht="21.75" hidden="false" customHeight="true" outlineLevel="0" collapsed="false">
      <c r="A1057" s="4" t="n">
        <v>43484</v>
      </c>
      <c r="B1057" s="14" t="s">
        <v>127</v>
      </c>
      <c r="C1057" s="14" t="s">
        <v>15</v>
      </c>
      <c r="D1057" s="14" t="s">
        <v>43</v>
      </c>
      <c r="E1057" s="14" t="s">
        <v>109</v>
      </c>
      <c r="F1057" s="19" t="s">
        <v>2717</v>
      </c>
      <c r="G1057" s="18" t="n">
        <v>982496498</v>
      </c>
      <c r="H1057" s="18" t="s">
        <v>2718</v>
      </c>
      <c r="I1057" s="18"/>
      <c r="J1057" s="1"/>
      <c r="K1057" s="1" t="s">
        <v>2719</v>
      </c>
      <c r="L1057" s="1"/>
      <c r="M1057" s="1"/>
      <c r="N1057" s="1"/>
      <c r="O1057" s="1"/>
      <c r="P1057" s="6" t="s">
        <v>133</v>
      </c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customFormat="false" ht="21.75" hidden="false" customHeight="true" outlineLevel="0" collapsed="false">
      <c r="A1058" s="4" t="n">
        <v>43484</v>
      </c>
      <c r="B1058" s="14" t="s">
        <v>1114</v>
      </c>
      <c r="C1058" s="14" t="s">
        <v>15</v>
      </c>
      <c r="D1058" s="14" t="s">
        <v>43</v>
      </c>
      <c r="E1058" s="14" t="s">
        <v>109</v>
      </c>
      <c r="F1058" s="14" t="s">
        <v>2720</v>
      </c>
      <c r="G1058" s="14" t="n">
        <f aca="false">+593988380439</f>
        <v>593988380439</v>
      </c>
      <c r="H1058" s="14" t="s">
        <v>2721</v>
      </c>
      <c r="I1058" s="14"/>
      <c r="J1058" s="1"/>
      <c r="K1058" s="1" t="s">
        <v>2656</v>
      </c>
      <c r="L1058" s="1"/>
      <c r="M1058" s="1"/>
      <c r="N1058" s="1"/>
      <c r="O1058" s="1"/>
      <c r="P1058" s="6" t="s">
        <v>21</v>
      </c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customFormat="false" ht="21.75" hidden="false" customHeight="true" outlineLevel="0" collapsed="false">
      <c r="A1059" s="4" t="n">
        <v>43484</v>
      </c>
      <c r="B1059" s="14" t="s">
        <v>1114</v>
      </c>
      <c r="C1059" s="14" t="s">
        <v>15</v>
      </c>
      <c r="D1059" s="14" t="s">
        <v>43</v>
      </c>
      <c r="E1059" s="14" t="s">
        <v>109</v>
      </c>
      <c r="F1059" s="14" t="s">
        <v>2722</v>
      </c>
      <c r="G1059" s="14" t="n">
        <f aca="false">+593959074006</f>
        <v>593959074006</v>
      </c>
      <c r="H1059" s="14" t="s">
        <v>2723</v>
      </c>
      <c r="I1059" s="14"/>
      <c r="J1059" s="1"/>
      <c r="K1059" s="1" t="s">
        <v>2724</v>
      </c>
      <c r="L1059" s="1"/>
      <c r="M1059" s="1"/>
      <c r="N1059" s="1"/>
      <c r="O1059" s="1"/>
      <c r="P1059" s="6" t="s">
        <v>133</v>
      </c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customFormat="false" ht="21.75" hidden="false" customHeight="true" outlineLevel="0" collapsed="false">
      <c r="A1060" s="4" t="n">
        <v>43484</v>
      </c>
      <c r="B1060" s="14" t="s">
        <v>1114</v>
      </c>
      <c r="C1060" s="14" t="s">
        <v>26</v>
      </c>
      <c r="D1060" s="14" t="s">
        <v>43</v>
      </c>
      <c r="E1060" s="14" t="s">
        <v>109</v>
      </c>
      <c r="F1060" s="14" t="s">
        <v>2725</v>
      </c>
      <c r="G1060" s="14" t="n">
        <f aca="false">+593999846790</f>
        <v>593999846790</v>
      </c>
      <c r="H1060" s="14" t="s">
        <v>2641</v>
      </c>
      <c r="I1060" s="14"/>
      <c r="J1060" s="1"/>
      <c r="K1060" s="1" t="s">
        <v>73</v>
      </c>
      <c r="L1060" s="1"/>
      <c r="M1060" s="1"/>
      <c r="N1060" s="1"/>
      <c r="O1060" s="1"/>
      <c r="P1060" s="6" t="s">
        <v>31</v>
      </c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customFormat="false" ht="21.75" hidden="false" customHeight="true" outlineLevel="0" collapsed="false">
      <c r="A1061" s="4" t="n">
        <v>43484</v>
      </c>
      <c r="B1061" s="14" t="s">
        <v>1114</v>
      </c>
      <c r="C1061" s="14" t="s">
        <v>15</v>
      </c>
      <c r="D1061" s="14" t="s">
        <v>43</v>
      </c>
      <c r="E1061" s="14" t="s">
        <v>109</v>
      </c>
      <c r="F1061" s="14" t="s">
        <v>2726</v>
      </c>
      <c r="G1061" s="14" t="n">
        <f aca="false">+5930988732946</f>
        <v>5930988732946</v>
      </c>
      <c r="H1061" s="14" t="s">
        <v>2727</v>
      </c>
      <c r="I1061" s="14"/>
      <c r="J1061" s="1"/>
      <c r="K1061" s="1" t="s">
        <v>2728</v>
      </c>
      <c r="L1061" s="1"/>
      <c r="M1061" s="1"/>
      <c r="N1061" s="1"/>
      <c r="O1061" s="1"/>
      <c r="P1061" s="6" t="s">
        <v>133</v>
      </c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customFormat="false" ht="21.75" hidden="false" customHeight="true" outlineLevel="0" collapsed="false">
      <c r="A1062" s="4" t="n">
        <v>43484</v>
      </c>
      <c r="B1062" s="14" t="s">
        <v>1114</v>
      </c>
      <c r="C1062" s="14" t="s">
        <v>15</v>
      </c>
      <c r="D1062" s="14" t="s">
        <v>43</v>
      </c>
      <c r="E1062" s="14" t="s">
        <v>109</v>
      </c>
      <c r="F1062" s="14" t="s">
        <v>2729</v>
      </c>
      <c r="G1062" s="14" t="n">
        <f aca="false">+593986342823</f>
        <v>593986342823</v>
      </c>
      <c r="H1062" s="14" t="s">
        <v>2730</v>
      </c>
      <c r="I1062" s="14"/>
      <c r="J1062" s="1"/>
      <c r="K1062" s="1" t="s">
        <v>21</v>
      </c>
      <c r="L1062" s="1"/>
      <c r="M1062" s="1"/>
      <c r="N1062" s="1"/>
      <c r="O1062" s="1"/>
      <c r="P1062" s="6" t="s">
        <v>21</v>
      </c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customFormat="false" ht="21.75" hidden="false" customHeight="true" outlineLevel="0" collapsed="false">
      <c r="A1063" s="4" t="n">
        <v>43484</v>
      </c>
      <c r="B1063" s="14" t="s">
        <v>1114</v>
      </c>
      <c r="C1063" s="14" t="s">
        <v>15</v>
      </c>
      <c r="D1063" s="14" t="s">
        <v>43</v>
      </c>
      <c r="E1063" s="14" t="s">
        <v>109</v>
      </c>
      <c r="F1063" s="14" t="s">
        <v>2731</v>
      </c>
      <c r="G1063" s="14" t="n">
        <f aca="false">+593993744361</f>
        <v>593993744361</v>
      </c>
      <c r="H1063" s="14" t="s">
        <v>2732</v>
      </c>
      <c r="I1063" s="14"/>
      <c r="J1063" s="1"/>
      <c r="K1063" s="1" t="s">
        <v>2733</v>
      </c>
      <c r="L1063" s="1"/>
      <c r="M1063" s="1"/>
      <c r="N1063" s="1"/>
      <c r="O1063" s="1"/>
      <c r="P1063" s="6" t="s">
        <v>133</v>
      </c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customFormat="false" ht="21.75" hidden="false" customHeight="true" outlineLevel="0" collapsed="false">
      <c r="A1064" s="4" t="n">
        <v>43484</v>
      </c>
      <c r="B1064" s="14" t="s">
        <v>1114</v>
      </c>
      <c r="C1064" s="14" t="s">
        <v>15</v>
      </c>
      <c r="D1064" s="14" t="s">
        <v>43</v>
      </c>
      <c r="E1064" s="14" t="s">
        <v>109</v>
      </c>
      <c r="F1064" s="14" t="s">
        <v>2734</v>
      </c>
      <c r="G1064" s="14" t="n">
        <f aca="false">+593994563273</f>
        <v>593994563273</v>
      </c>
      <c r="H1064" s="14" t="s">
        <v>2735</v>
      </c>
      <c r="I1064" s="14"/>
      <c r="J1064" s="1"/>
      <c r="K1064" s="1" t="s">
        <v>2736</v>
      </c>
      <c r="L1064" s="1"/>
      <c r="M1064" s="1"/>
      <c r="N1064" s="1"/>
      <c r="O1064" s="1"/>
      <c r="P1064" s="6" t="s">
        <v>531</v>
      </c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customFormat="false" ht="21.75" hidden="false" customHeight="true" outlineLevel="0" collapsed="false">
      <c r="A1065" s="4" t="n">
        <v>43484</v>
      </c>
      <c r="B1065" s="14" t="s">
        <v>1114</v>
      </c>
      <c r="C1065" s="14" t="s">
        <v>15</v>
      </c>
      <c r="D1065" s="14" t="s">
        <v>43</v>
      </c>
      <c r="E1065" s="14" t="s">
        <v>109</v>
      </c>
      <c r="F1065" s="14" t="s">
        <v>2737</v>
      </c>
      <c r="G1065" s="14" t="n">
        <f aca="false">+593967383585</f>
        <v>593967383585</v>
      </c>
      <c r="H1065" s="14" t="s">
        <v>2738</v>
      </c>
      <c r="I1065" s="14"/>
      <c r="J1065" s="1"/>
      <c r="K1065" s="1" t="s">
        <v>21</v>
      </c>
      <c r="L1065" s="1"/>
      <c r="M1065" s="1"/>
      <c r="N1065" s="1"/>
      <c r="O1065" s="1"/>
      <c r="P1065" s="6" t="s">
        <v>21</v>
      </c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customFormat="false" ht="21.75" hidden="false" customHeight="true" outlineLevel="0" collapsed="false">
      <c r="A1066" s="4" t="n">
        <v>43484</v>
      </c>
      <c r="B1066" s="14" t="s">
        <v>1114</v>
      </c>
      <c r="C1066" s="14" t="s">
        <v>15</v>
      </c>
      <c r="D1066" s="14" t="s">
        <v>43</v>
      </c>
      <c r="E1066" s="14" t="s">
        <v>109</v>
      </c>
      <c r="F1066" s="14" t="s">
        <v>2739</v>
      </c>
      <c r="G1066" s="14" t="n">
        <f aca="false">+5930984342278</f>
        <v>5930984342278</v>
      </c>
      <c r="H1066" s="14" t="s">
        <v>2740</v>
      </c>
      <c r="I1066" s="14"/>
      <c r="J1066" s="1"/>
      <c r="K1066" s="1" t="s">
        <v>2741</v>
      </c>
      <c r="L1066" s="1"/>
      <c r="M1066" s="1"/>
      <c r="N1066" s="1"/>
      <c r="O1066" s="1"/>
      <c r="P1066" s="6" t="s">
        <v>531</v>
      </c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customFormat="false" ht="21.75" hidden="false" customHeight="true" outlineLevel="0" collapsed="false">
      <c r="A1067" s="4" t="n">
        <v>43484</v>
      </c>
      <c r="B1067" s="14" t="s">
        <v>1114</v>
      </c>
      <c r="C1067" s="14" t="s">
        <v>15</v>
      </c>
      <c r="D1067" s="14" t="s">
        <v>43</v>
      </c>
      <c r="E1067" s="14" t="s">
        <v>109</v>
      </c>
      <c r="F1067" s="14" t="s">
        <v>2742</v>
      </c>
      <c r="G1067" s="14" t="n">
        <v>978954457</v>
      </c>
      <c r="H1067" s="14" t="s">
        <v>2743</v>
      </c>
      <c r="I1067" s="14"/>
      <c r="J1067" s="1"/>
      <c r="K1067" s="1" t="s">
        <v>2744</v>
      </c>
      <c r="L1067" s="1"/>
      <c r="M1067" s="1"/>
      <c r="N1067" s="1"/>
      <c r="O1067" s="1"/>
      <c r="P1067" s="6" t="s">
        <v>2745</v>
      </c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customFormat="false" ht="21.75" hidden="false" customHeight="true" outlineLevel="0" collapsed="false">
      <c r="A1068" s="4" t="n">
        <v>43484</v>
      </c>
      <c r="B1068" s="14" t="s">
        <v>1114</v>
      </c>
      <c r="C1068" s="14" t="s">
        <v>15</v>
      </c>
      <c r="D1068" s="14" t="s">
        <v>43</v>
      </c>
      <c r="E1068" s="14" t="s">
        <v>109</v>
      </c>
      <c r="F1068" s="19" t="s">
        <v>2746</v>
      </c>
      <c r="G1068" s="18" t="n">
        <v>968034785</v>
      </c>
      <c r="H1068" s="26" t="s">
        <v>2747</v>
      </c>
      <c r="I1068" s="26"/>
      <c r="J1068" s="1"/>
      <c r="K1068" s="1" t="s">
        <v>2748</v>
      </c>
      <c r="L1068" s="1"/>
      <c r="M1068" s="1"/>
      <c r="N1068" s="1"/>
      <c r="O1068" s="1"/>
      <c r="P1068" s="6" t="s">
        <v>2749</v>
      </c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customFormat="false" ht="21.75" hidden="false" customHeight="true" outlineLevel="0" collapsed="false">
      <c r="A1069" s="4" t="n">
        <v>43484</v>
      </c>
      <c r="B1069" s="14" t="s">
        <v>415</v>
      </c>
      <c r="C1069" s="14" t="s">
        <v>15</v>
      </c>
      <c r="D1069" s="14" t="s">
        <v>43</v>
      </c>
      <c r="E1069" s="14" t="s">
        <v>44</v>
      </c>
      <c r="F1069" s="14" t="s">
        <v>1422</v>
      </c>
      <c r="G1069" s="14" t="n">
        <f aca="false">+593994795396</f>
        <v>593994795396</v>
      </c>
      <c r="H1069" s="14" t="s">
        <v>1423</v>
      </c>
      <c r="I1069" s="14"/>
      <c r="J1069" s="1"/>
      <c r="K1069" s="1" t="s">
        <v>2750</v>
      </c>
      <c r="L1069" s="1"/>
      <c r="M1069" s="1"/>
      <c r="N1069" s="1"/>
      <c r="O1069" s="1"/>
      <c r="P1069" s="6" t="s">
        <v>133</v>
      </c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customFormat="false" ht="21.75" hidden="false" customHeight="true" outlineLevel="0" collapsed="false">
      <c r="A1070" s="4" t="n">
        <v>43484</v>
      </c>
      <c r="B1070" s="14" t="s">
        <v>415</v>
      </c>
      <c r="C1070" s="14" t="s">
        <v>15</v>
      </c>
      <c r="D1070" s="14" t="s">
        <v>43</v>
      </c>
      <c r="E1070" s="14" t="s">
        <v>109</v>
      </c>
      <c r="F1070" s="14" t="s">
        <v>2751</v>
      </c>
      <c r="G1070" s="14" t="n">
        <f aca="false">+5930985935695</f>
        <v>5930985935695</v>
      </c>
      <c r="H1070" s="14" t="s">
        <v>2530</v>
      </c>
      <c r="I1070" s="14"/>
      <c r="J1070" s="1"/>
      <c r="K1070" s="1" t="s">
        <v>428</v>
      </c>
      <c r="L1070" s="1"/>
      <c r="M1070" s="1"/>
      <c r="N1070" s="1"/>
      <c r="O1070" s="1"/>
      <c r="P1070" s="6" t="s">
        <v>31</v>
      </c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customFormat="false" ht="21.75" hidden="false" customHeight="true" outlineLevel="0" collapsed="false">
      <c r="A1071" s="4" t="n">
        <v>43484</v>
      </c>
      <c r="B1071" s="14" t="s">
        <v>352</v>
      </c>
      <c r="C1071" s="14" t="s">
        <v>15</v>
      </c>
      <c r="D1071" s="14" t="s">
        <v>43</v>
      </c>
      <c r="E1071" s="14" t="s">
        <v>109</v>
      </c>
      <c r="F1071" s="14" t="s">
        <v>2752</v>
      </c>
      <c r="G1071" s="14" t="n">
        <f aca="false">+593996902512</f>
        <v>593996902512</v>
      </c>
      <c r="H1071" s="14" t="s">
        <v>2753</v>
      </c>
      <c r="I1071" s="14"/>
      <c r="J1071" s="1"/>
      <c r="K1071" s="1" t="s">
        <v>2656</v>
      </c>
      <c r="L1071" s="1"/>
      <c r="M1071" s="1"/>
      <c r="N1071" s="1"/>
      <c r="O1071" s="1"/>
      <c r="P1071" s="6" t="s">
        <v>21</v>
      </c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customFormat="false" ht="21.75" hidden="false" customHeight="true" outlineLevel="0" collapsed="false">
      <c r="A1072" s="4" t="n">
        <v>43484</v>
      </c>
      <c r="B1072" s="14" t="s">
        <v>352</v>
      </c>
      <c r="C1072" s="14" t="s">
        <v>15</v>
      </c>
      <c r="D1072" s="14" t="s">
        <v>43</v>
      </c>
      <c r="E1072" s="14" t="s">
        <v>109</v>
      </c>
      <c r="F1072" s="14" t="s">
        <v>2754</v>
      </c>
      <c r="G1072" s="14" t="n">
        <f aca="false">+593989092236</f>
        <v>593989092236</v>
      </c>
      <c r="H1072" s="14" t="s">
        <v>2755</v>
      </c>
      <c r="I1072" s="14"/>
      <c r="J1072" s="1"/>
      <c r="K1072" s="1" t="s">
        <v>860</v>
      </c>
      <c r="L1072" s="1"/>
      <c r="M1072" s="1"/>
      <c r="N1072" s="1"/>
      <c r="O1072" s="1"/>
      <c r="P1072" s="6" t="s">
        <v>2756</v>
      </c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customFormat="false" ht="21.75" hidden="false" customHeight="true" outlineLevel="0" collapsed="false">
      <c r="A1073" s="4" t="n">
        <v>43484</v>
      </c>
      <c r="B1073" s="14" t="s">
        <v>352</v>
      </c>
      <c r="C1073" s="14" t="s">
        <v>15</v>
      </c>
      <c r="D1073" s="14" t="s">
        <v>43</v>
      </c>
      <c r="E1073" s="14" t="s">
        <v>109</v>
      </c>
      <c r="F1073" s="14" t="s">
        <v>2757</v>
      </c>
      <c r="G1073" s="14" t="n">
        <f aca="false">+593979588981</f>
        <v>593979588981</v>
      </c>
      <c r="H1073" s="14" t="s">
        <v>2758</v>
      </c>
      <c r="I1073" s="14"/>
      <c r="J1073" s="1"/>
      <c r="K1073" s="1" t="s">
        <v>21</v>
      </c>
      <c r="L1073" s="1"/>
      <c r="M1073" s="1"/>
      <c r="N1073" s="1"/>
      <c r="O1073" s="1"/>
      <c r="P1073" s="6" t="s">
        <v>21</v>
      </c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customFormat="false" ht="21.75" hidden="false" customHeight="true" outlineLevel="0" collapsed="false">
      <c r="A1074" s="4" t="n">
        <v>43484</v>
      </c>
      <c r="B1074" s="14" t="s">
        <v>352</v>
      </c>
      <c r="C1074" s="14" t="s">
        <v>26</v>
      </c>
      <c r="D1074" s="14" t="s">
        <v>43</v>
      </c>
      <c r="E1074" s="14" t="s">
        <v>109</v>
      </c>
      <c r="F1074" s="14" t="s">
        <v>2759</v>
      </c>
      <c r="G1074" s="14" t="n">
        <f aca="false">+593986560959</f>
        <v>593986560959</v>
      </c>
      <c r="H1074" s="14" t="s">
        <v>2760</v>
      </c>
      <c r="I1074" s="14"/>
      <c r="J1074" s="1"/>
      <c r="K1074" s="1" t="s">
        <v>21</v>
      </c>
      <c r="L1074" s="1"/>
      <c r="M1074" s="1"/>
      <c r="N1074" s="1"/>
      <c r="O1074" s="1"/>
      <c r="P1074" s="6" t="s">
        <v>21</v>
      </c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customFormat="false" ht="21.75" hidden="false" customHeight="true" outlineLevel="0" collapsed="false">
      <c r="A1075" s="4" t="n">
        <v>43484</v>
      </c>
      <c r="B1075" s="14" t="s">
        <v>352</v>
      </c>
      <c r="C1075" s="14" t="s">
        <v>15</v>
      </c>
      <c r="D1075" s="14" t="s">
        <v>43</v>
      </c>
      <c r="E1075" s="14" t="s">
        <v>109</v>
      </c>
      <c r="F1075" s="14" t="s">
        <v>2761</v>
      </c>
      <c r="G1075" s="14" t="n">
        <f aca="false">+593981861475</f>
        <v>593981861475</v>
      </c>
      <c r="H1075" s="14" t="s">
        <v>2762</v>
      </c>
      <c r="I1075" s="14"/>
      <c r="J1075" s="1"/>
      <c r="K1075" s="1" t="s">
        <v>35</v>
      </c>
      <c r="L1075" s="1"/>
      <c r="M1075" s="1"/>
      <c r="N1075" s="1"/>
      <c r="O1075" s="1"/>
      <c r="P1075" s="6" t="s">
        <v>133</v>
      </c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customFormat="false" ht="21.75" hidden="false" customHeight="true" outlineLevel="0" collapsed="false">
      <c r="A1076" s="4" t="n">
        <v>43484</v>
      </c>
      <c r="B1076" s="14" t="s">
        <v>352</v>
      </c>
      <c r="C1076" s="14" t="s">
        <v>15</v>
      </c>
      <c r="D1076" s="14" t="s">
        <v>43</v>
      </c>
      <c r="E1076" s="14" t="s">
        <v>109</v>
      </c>
      <c r="F1076" s="14" t="s">
        <v>2763</v>
      </c>
      <c r="G1076" s="14" t="n">
        <f aca="false">+593969051942</f>
        <v>593969051942</v>
      </c>
      <c r="H1076" s="14" t="s">
        <v>2764</v>
      </c>
      <c r="I1076" s="14"/>
      <c r="J1076" s="1"/>
      <c r="K1076" s="1" t="s">
        <v>21</v>
      </c>
      <c r="L1076" s="1"/>
      <c r="M1076" s="1"/>
      <c r="N1076" s="1"/>
      <c r="O1076" s="1"/>
      <c r="P1076" s="6" t="s">
        <v>21</v>
      </c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customFormat="false" ht="21.75" hidden="false" customHeight="true" outlineLevel="0" collapsed="false">
      <c r="A1077" s="4" t="n">
        <v>43484</v>
      </c>
      <c r="B1077" s="14" t="s">
        <v>352</v>
      </c>
      <c r="C1077" s="14" t="s">
        <v>15</v>
      </c>
      <c r="D1077" s="14" t="s">
        <v>43</v>
      </c>
      <c r="E1077" s="14" t="s">
        <v>109</v>
      </c>
      <c r="F1077" s="19" t="s">
        <v>2765</v>
      </c>
      <c r="G1077" s="18" t="n">
        <v>960818255</v>
      </c>
      <c r="H1077" s="18" t="s">
        <v>2766</v>
      </c>
      <c r="I1077" s="18"/>
      <c r="J1077" s="1"/>
      <c r="K1077" s="1" t="s">
        <v>21</v>
      </c>
      <c r="L1077" s="1"/>
      <c r="M1077" s="1"/>
      <c r="N1077" s="1"/>
      <c r="O1077" s="1"/>
      <c r="P1077" s="6" t="s">
        <v>21</v>
      </c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customFormat="false" ht="21.75" hidden="false" customHeight="true" outlineLevel="0" collapsed="false">
      <c r="A1078" s="4" t="n">
        <v>43484</v>
      </c>
      <c r="B1078" s="14" t="s">
        <v>178</v>
      </c>
      <c r="C1078" s="14" t="s">
        <v>15</v>
      </c>
      <c r="D1078" s="14" t="s">
        <v>43</v>
      </c>
      <c r="E1078" s="14" t="s">
        <v>44</v>
      </c>
      <c r="F1078" s="14" t="s">
        <v>2767</v>
      </c>
      <c r="G1078" s="14" t="n">
        <f aca="false">+593998558356</f>
        <v>593998558356</v>
      </c>
      <c r="H1078" s="14" t="s">
        <v>2768</v>
      </c>
      <c r="I1078" s="14"/>
      <c r="J1078" s="1"/>
      <c r="K1078" s="1" t="s">
        <v>21</v>
      </c>
      <c r="L1078" s="1"/>
      <c r="M1078" s="1"/>
      <c r="N1078" s="1"/>
      <c r="O1078" s="1"/>
      <c r="P1078" s="6" t="s">
        <v>21</v>
      </c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customFormat="false" ht="21.75" hidden="false" customHeight="true" outlineLevel="0" collapsed="false">
      <c r="A1079" s="4" t="n">
        <v>43484</v>
      </c>
      <c r="B1079" s="14" t="s">
        <v>178</v>
      </c>
      <c r="C1079" s="14" t="s">
        <v>15</v>
      </c>
      <c r="D1079" s="14" t="s">
        <v>43</v>
      </c>
      <c r="E1079" s="14" t="s">
        <v>44</v>
      </c>
      <c r="F1079" s="14" t="s">
        <v>2769</v>
      </c>
      <c r="G1079" s="14" t="n">
        <f aca="false">+593979681906</f>
        <v>593979681906</v>
      </c>
      <c r="H1079" s="14" t="s">
        <v>2770</v>
      </c>
      <c r="I1079" s="14"/>
      <c r="J1079" s="1"/>
      <c r="K1079" s="1" t="s">
        <v>2714</v>
      </c>
      <c r="L1079" s="1"/>
      <c r="M1079" s="1"/>
      <c r="N1079" s="1"/>
      <c r="O1079" s="1"/>
      <c r="P1079" s="6" t="s">
        <v>31</v>
      </c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customFormat="false" ht="21.75" hidden="false" customHeight="true" outlineLevel="0" collapsed="false">
      <c r="A1080" s="4" t="n">
        <v>43484</v>
      </c>
      <c r="B1080" s="14" t="s">
        <v>81</v>
      </c>
      <c r="C1080" s="14" t="s">
        <v>15</v>
      </c>
      <c r="D1080" s="14" t="s">
        <v>43</v>
      </c>
      <c r="E1080" s="14" t="s">
        <v>109</v>
      </c>
      <c r="F1080" s="14" t="s">
        <v>2771</v>
      </c>
      <c r="G1080" s="14" t="n">
        <f aca="false">+5930987555734</f>
        <v>5930987555734</v>
      </c>
      <c r="H1080" s="14" t="s">
        <v>2772</v>
      </c>
      <c r="I1080" s="14"/>
      <c r="J1080" s="1"/>
      <c r="K1080" s="1" t="s">
        <v>21</v>
      </c>
      <c r="L1080" s="1"/>
      <c r="M1080" s="1"/>
      <c r="N1080" s="1"/>
      <c r="O1080" s="1"/>
      <c r="P1080" s="6" t="s">
        <v>21</v>
      </c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customFormat="false" ht="21.75" hidden="false" customHeight="true" outlineLevel="0" collapsed="false">
      <c r="A1081" s="4" t="n">
        <v>43484</v>
      </c>
      <c r="B1081" s="14" t="s">
        <v>81</v>
      </c>
      <c r="C1081" s="14" t="s">
        <v>15</v>
      </c>
      <c r="D1081" s="14" t="s">
        <v>43</v>
      </c>
      <c r="E1081" s="14" t="s">
        <v>109</v>
      </c>
      <c r="F1081" s="14" t="s">
        <v>2773</v>
      </c>
      <c r="G1081" s="14" t="n">
        <f aca="false">+593982082515</f>
        <v>593982082515</v>
      </c>
      <c r="H1081" s="14" t="s">
        <v>2774</v>
      </c>
      <c r="I1081" s="14"/>
      <c r="J1081" s="1"/>
      <c r="K1081" s="1" t="s">
        <v>2775</v>
      </c>
      <c r="L1081" s="1"/>
      <c r="M1081" s="1"/>
      <c r="N1081" s="1"/>
      <c r="O1081" s="1"/>
      <c r="P1081" s="6" t="s">
        <v>21</v>
      </c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customFormat="false" ht="21.75" hidden="false" customHeight="true" outlineLevel="0" collapsed="false">
      <c r="A1082" s="4" t="n">
        <v>43484</v>
      </c>
      <c r="B1082" s="14" t="s">
        <v>81</v>
      </c>
      <c r="C1082" s="14" t="s">
        <v>15</v>
      </c>
      <c r="D1082" s="14" t="s">
        <v>43</v>
      </c>
      <c r="E1082" s="14" t="s">
        <v>109</v>
      </c>
      <c r="F1082" s="14" t="s">
        <v>2776</v>
      </c>
      <c r="G1082" s="14" t="n">
        <f aca="false">+593981008594</f>
        <v>593981008594</v>
      </c>
      <c r="H1082" s="14" t="s">
        <v>2777</v>
      </c>
      <c r="I1082" s="14"/>
      <c r="J1082" s="1"/>
      <c r="K1082" s="1" t="s">
        <v>2778</v>
      </c>
      <c r="L1082" s="1"/>
      <c r="M1082" s="1"/>
      <c r="N1082" s="1"/>
      <c r="O1082" s="1"/>
      <c r="P1082" s="6" t="s">
        <v>133</v>
      </c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customFormat="false" ht="21.75" hidden="false" customHeight="true" outlineLevel="0" collapsed="false">
      <c r="A1083" s="4" t="n">
        <v>43484</v>
      </c>
      <c r="B1083" s="11" t="s">
        <v>286</v>
      </c>
      <c r="C1083" s="14" t="s">
        <v>15</v>
      </c>
      <c r="D1083" s="14" t="s">
        <v>16</v>
      </c>
      <c r="E1083" s="14" t="s">
        <v>17</v>
      </c>
      <c r="F1083" s="14" t="s">
        <v>2779</v>
      </c>
      <c r="G1083" s="14" t="n">
        <f aca="false">+5930990308758</f>
        <v>5930990308758</v>
      </c>
      <c r="H1083" s="14" t="s">
        <v>2780</v>
      </c>
      <c r="I1083" s="14"/>
      <c r="J1083" s="1"/>
      <c r="K1083" s="1" t="s">
        <v>2781</v>
      </c>
      <c r="L1083" s="1"/>
      <c r="M1083" s="1"/>
      <c r="N1083" s="1"/>
      <c r="O1083" s="1"/>
      <c r="P1083" s="6" t="s">
        <v>133</v>
      </c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customFormat="false" ht="21.75" hidden="false" customHeight="true" outlineLevel="0" collapsed="false">
      <c r="A1084" s="4" t="n">
        <v>43484</v>
      </c>
      <c r="B1084" s="14" t="s">
        <v>86</v>
      </c>
      <c r="C1084" s="14" t="s">
        <v>15</v>
      </c>
      <c r="D1084" s="14" t="s">
        <v>16</v>
      </c>
      <c r="E1084" s="14" t="s">
        <v>17</v>
      </c>
      <c r="F1084" s="14" t="s">
        <v>2782</v>
      </c>
      <c r="G1084" s="14" t="n">
        <f aca="false">+593959275041</f>
        <v>593959275041</v>
      </c>
      <c r="H1084" s="14" t="s">
        <v>2783</v>
      </c>
      <c r="I1084" s="14"/>
      <c r="J1084" s="1"/>
      <c r="K1084" s="1" t="s">
        <v>21</v>
      </c>
      <c r="L1084" s="1"/>
      <c r="M1084" s="1"/>
      <c r="N1084" s="1"/>
      <c r="O1084" s="1"/>
      <c r="P1084" s="6" t="s">
        <v>21</v>
      </c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customFormat="false" ht="21.75" hidden="false" customHeight="true" outlineLevel="0" collapsed="false">
      <c r="A1085" s="4" t="n">
        <v>43484</v>
      </c>
      <c r="B1085" s="14" t="s">
        <v>86</v>
      </c>
      <c r="C1085" s="14" t="s">
        <v>15</v>
      </c>
      <c r="D1085" s="14" t="s">
        <v>16</v>
      </c>
      <c r="E1085" s="14" t="s">
        <v>17</v>
      </c>
      <c r="F1085" s="14" t="s">
        <v>2784</v>
      </c>
      <c r="G1085" s="14" t="n">
        <f aca="false">+593939876677</f>
        <v>593939876677</v>
      </c>
      <c r="H1085" s="14" t="s">
        <v>2785</v>
      </c>
      <c r="I1085" s="14"/>
      <c r="J1085" s="1"/>
      <c r="K1085" s="1" t="s">
        <v>2786</v>
      </c>
      <c r="L1085" s="1"/>
      <c r="M1085" s="1"/>
      <c r="N1085" s="1"/>
      <c r="O1085" s="1"/>
      <c r="P1085" s="6" t="s">
        <v>2756</v>
      </c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customFormat="false" ht="21.75" hidden="false" customHeight="true" outlineLevel="0" collapsed="false">
      <c r="A1086" s="4" t="n">
        <v>43484</v>
      </c>
      <c r="B1086" s="14" t="s">
        <v>86</v>
      </c>
      <c r="C1086" s="14" t="s">
        <v>15</v>
      </c>
      <c r="D1086" s="14" t="s">
        <v>16</v>
      </c>
      <c r="E1086" s="14" t="s">
        <v>17</v>
      </c>
      <c r="F1086" s="14" t="s">
        <v>2787</v>
      </c>
      <c r="G1086" s="14" t="n">
        <f aca="false">+593995901428</f>
        <v>593995901428</v>
      </c>
      <c r="H1086" s="14" t="s">
        <v>2788</v>
      </c>
      <c r="I1086" s="14"/>
      <c r="J1086" s="1"/>
      <c r="K1086" s="1" t="s">
        <v>21</v>
      </c>
      <c r="L1086" s="1"/>
      <c r="M1086" s="1"/>
      <c r="N1086" s="1"/>
      <c r="O1086" s="1"/>
      <c r="P1086" s="6" t="s">
        <v>133</v>
      </c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customFormat="false" ht="21.75" hidden="false" customHeight="true" outlineLevel="0" collapsed="false">
      <c r="A1087" s="4" t="n">
        <v>43484</v>
      </c>
      <c r="B1087" s="14" t="s">
        <v>301</v>
      </c>
      <c r="C1087" s="14" t="s">
        <v>15</v>
      </c>
      <c r="D1087" s="14" t="s">
        <v>16</v>
      </c>
      <c r="E1087" s="14" t="s">
        <v>17</v>
      </c>
      <c r="F1087" s="14" t="s">
        <v>2789</v>
      </c>
      <c r="G1087" s="14" t="n">
        <f aca="false">+593969512095</f>
        <v>593969512095</v>
      </c>
      <c r="H1087" s="14" t="s">
        <v>2790</v>
      </c>
      <c r="I1087" s="14"/>
      <c r="J1087" s="1"/>
      <c r="K1087" s="1" t="s">
        <v>2791</v>
      </c>
      <c r="L1087" s="1"/>
      <c r="M1087" s="1"/>
      <c r="N1087" s="1"/>
      <c r="O1087" s="1"/>
      <c r="P1087" s="6" t="s">
        <v>2756</v>
      </c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customFormat="false" ht="21.75" hidden="false" customHeight="true" outlineLevel="0" collapsed="false">
      <c r="A1088" s="4" t="n">
        <v>43486</v>
      </c>
      <c r="B1088" s="18" t="s">
        <v>14</v>
      </c>
      <c r="C1088" s="14" t="s">
        <v>15</v>
      </c>
      <c r="D1088" s="14" t="s">
        <v>16</v>
      </c>
      <c r="E1088" s="14" t="s">
        <v>17</v>
      </c>
      <c r="F1088" s="14" t="s">
        <v>2792</v>
      </c>
      <c r="G1088" s="14" t="n">
        <f aca="false">+5930992406755</f>
        <v>5930992406755</v>
      </c>
      <c r="H1088" s="14" t="s">
        <v>2793</v>
      </c>
      <c r="I1088" s="14"/>
      <c r="J1088" s="1"/>
      <c r="K1088" s="1" t="s">
        <v>21</v>
      </c>
      <c r="L1088" s="1"/>
      <c r="M1088" s="1"/>
      <c r="N1088" s="1"/>
      <c r="O1088" s="1"/>
      <c r="P1088" s="6" t="s">
        <v>21</v>
      </c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customFormat="false" ht="21.75" hidden="false" customHeight="true" outlineLevel="0" collapsed="false">
      <c r="A1089" s="4" t="n">
        <v>43486</v>
      </c>
      <c r="B1089" s="18" t="s">
        <v>14</v>
      </c>
      <c r="C1089" s="14" t="s">
        <v>15</v>
      </c>
      <c r="D1089" s="14" t="s">
        <v>16</v>
      </c>
      <c r="E1089" s="14" t="s">
        <v>17</v>
      </c>
      <c r="F1089" s="14" t="s">
        <v>2794</v>
      </c>
      <c r="G1089" s="14" t="n">
        <f aca="false">+5930984314542</f>
        <v>5930984314542</v>
      </c>
      <c r="H1089" s="14" t="s">
        <v>2795</v>
      </c>
      <c r="I1089" s="14"/>
      <c r="J1089" s="1"/>
      <c r="K1089" s="1" t="s">
        <v>21</v>
      </c>
      <c r="L1089" s="1"/>
      <c r="M1089" s="1"/>
      <c r="N1089" s="1"/>
      <c r="O1089" s="1"/>
      <c r="P1089" s="6" t="s">
        <v>21</v>
      </c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customFormat="false" ht="21.75" hidden="false" customHeight="true" outlineLevel="0" collapsed="false">
      <c r="A1090" s="4" t="n">
        <v>43486</v>
      </c>
      <c r="B1090" s="18" t="s">
        <v>14</v>
      </c>
      <c r="C1090" s="14" t="s">
        <v>15</v>
      </c>
      <c r="D1090" s="14" t="s">
        <v>16</v>
      </c>
      <c r="E1090" s="14" t="s">
        <v>17</v>
      </c>
      <c r="F1090" s="14" t="s">
        <v>2796</v>
      </c>
      <c r="G1090" s="14" t="n">
        <f aca="false">+593986439600</f>
        <v>593986439600</v>
      </c>
      <c r="H1090" s="14" t="s">
        <v>2797</v>
      </c>
      <c r="I1090" s="14"/>
      <c r="J1090" s="1"/>
      <c r="K1090" s="1" t="s">
        <v>2476</v>
      </c>
      <c r="L1090" s="1"/>
      <c r="M1090" s="1"/>
      <c r="N1090" s="1"/>
      <c r="O1090" s="1"/>
      <c r="P1090" s="6" t="s">
        <v>133</v>
      </c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customFormat="false" ht="21.75" hidden="false" customHeight="true" outlineLevel="0" collapsed="false">
      <c r="A1091" s="4" t="n">
        <v>43486</v>
      </c>
      <c r="B1091" s="18" t="s">
        <v>14</v>
      </c>
      <c r="C1091" s="14" t="s">
        <v>15</v>
      </c>
      <c r="D1091" s="14" t="s">
        <v>16</v>
      </c>
      <c r="E1091" s="14" t="s">
        <v>17</v>
      </c>
      <c r="F1091" s="14" t="s">
        <v>2798</v>
      </c>
      <c r="G1091" s="14" t="n">
        <f aca="false">+593981702708</f>
        <v>593981702708</v>
      </c>
      <c r="H1091" s="14" t="s">
        <v>2799</v>
      </c>
      <c r="I1091" s="14"/>
      <c r="J1091" s="1"/>
      <c r="K1091" s="1" t="s">
        <v>21</v>
      </c>
      <c r="L1091" s="1"/>
      <c r="M1091" s="1"/>
      <c r="N1091" s="1"/>
      <c r="O1091" s="1"/>
      <c r="P1091" s="6" t="s">
        <v>21</v>
      </c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customFormat="false" ht="21.75" hidden="false" customHeight="true" outlineLevel="0" collapsed="false">
      <c r="A1092" s="4" t="n">
        <v>43486</v>
      </c>
      <c r="B1092" s="18" t="s">
        <v>14</v>
      </c>
      <c r="C1092" s="14" t="s">
        <v>15</v>
      </c>
      <c r="D1092" s="14" t="s">
        <v>16</v>
      </c>
      <c r="E1092" s="14" t="s">
        <v>17</v>
      </c>
      <c r="F1092" s="14" t="s">
        <v>2800</v>
      </c>
      <c r="G1092" s="14" t="n">
        <f aca="false">+593969904532</f>
        <v>593969904532</v>
      </c>
      <c r="H1092" s="14" t="s">
        <v>2801</v>
      </c>
      <c r="I1092" s="14"/>
      <c r="J1092" s="1"/>
      <c r="K1092" s="1" t="s">
        <v>2802</v>
      </c>
      <c r="L1092" s="1"/>
      <c r="M1092" s="1"/>
      <c r="N1092" s="1"/>
      <c r="O1092" s="1"/>
      <c r="P1092" s="6" t="s">
        <v>133</v>
      </c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customFormat="false" ht="21.75" hidden="false" customHeight="true" outlineLevel="0" collapsed="false">
      <c r="A1093" s="4" t="n">
        <v>43486</v>
      </c>
      <c r="B1093" s="18" t="s">
        <v>14</v>
      </c>
      <c r="C1093" s="14" t="s">
        <v>15</v>
      </c>
      <c r="D1093" s="14" t="s">
        <v>16</v>
      </c>
      <c r="E1093" s="14" t="s">
        <v>17</v>
      </c>
      <c r="F1093" s="14" t="s">
        <v>2803</v>
      </c>
      <c r="G1093" s="14" t="n">
        <f aca="false">+593994528269</f>
        <v>593994528269</v>
      </c>
      <c r="H1093" s="14" t="s">
        <v>2804</v>
      </c>
      <c r="I1093" s="14"/>
      <c r="J1093" s="1"/>
      <c r="K1093" s="1" t="s">
        <v>21</v>
      </c>
      <c r="L1093" s="1"/>
      <c r="M1093" s="1"/>
      <c r="N1093" s="1"/>
      <c r="O1093" s="1"/>
      <c r="P1093" s="6" t="s">
        <v>21</v>
      </c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customFormat="false" ht="21.75" hidden="false" customHeight="true" outlineLevel="0" collapsed="false">
      <c r="A1094" s="4" t="n">
        <v>43486</v>
      </c>
      <c r="B1094" s="18" t="s">
        <v>14</v>
      </c>
      <c r="C1094" s="14" t="s">
        <v>15</v>
      </c>
      <c r="D1094" s="14" t="s">
        <v>16</v>
      </c>
      <c r="E1094" s="14" t="s">
        <v>17</v>
      </c>
      <c r="F1094" s="14" t="s">
        <v>2805</v>
      </c>
      <c r="G1094" s="14" t="n">
        <f aca="false">+593999327308</f>
        <v>593999327308</v>
      </c>
      <c r="H1094" s="14" t="s">
        <v>2806</v>
      </c>
      <c r="I1094" s="14"/>
      <c r="J1094" s="1"/>
      <c r="K1094" s="1" t="s">
        <v>21</v>
      </c>
      <c r="L1094" s="1"/>
      <c r="M1094" s="1"/>
      <c r="N1094" s="1"/>
      <c r="O1094" s="1"/>
      <c r="P1094" s="6" t="s">
        <v>21</v>
      </c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customFormat="false" ht="21.75" hidden="false" customHeight="true" outlineLevel="0" collapsed="false">
      <c r="A1095" s="4" t="n">
        <v>43486</v>
      </c>
      <c r="B1095" s="18" t="s">
        <v>14</v>
      </c>
      <c r="C1095" s="14" t="s">
        <v>15</v>
      </c>
      <c r="D1095" s="14" t="s">
        <v>16</v>
      </c>
      <c r="E1095" s="14" t="s">
        <v>17</v>
      </c>
      <c r="F1095" s="14" t="s">
        <v>2807</v>
      </c>
      <c r="G1095" s="14" t="s">
        <v>2808</v>
      </c>
      <c r="H1095" s="14" t="s">
        <v>2808</v>
      </c>
      <c r="I1095" s="14"/>
      <c r="J1095" s="1"/>
      <c r="K1095" s="1" t="s">
        <v>2235</v>
      </c>
      <c r="L1095" s="1"/>
      <c r="M1095" s="1"/>
      <c r="N1095" s="1"/>
      <c r="O1095" s="1"/>
      <c r="P1095" s="6" t="s">
        <v>133</v>
      </c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customFormat="false" ht="21.75" hidden="false" customHeight="true" outlineLevel="0" collapsed="false">
      <c r="A1096" s="4" t="n">
        <v>43486</v>
      </c>
      <c r="B1096" s="18" t="s">
        <v>14</v>
      </c>
      <c r="C1096" s="14" t="s">
        <v>15</v>
      </c>
      <c r="D1096" s="14" t="s">
        <v>16</v>
      </c>
      <c r="E1096" s="14" t="s">
        <v>17</v>
      </c>
      <c r="F1096" s="19" t="s">
        <v>2809</v>
      </c>
      <c r="G1096" s="18" t="n">
        <v>961098785</v>
      </c>
      <c r="H1096" s="18" t="s">
        <v>2810</v>
      </c>
      <c r="I1096" s="18"/>
      <c r="J1096" s="1"/>
      <c r="K1096" s="1" t="s">
        <v>21</v>
      </c>
      <c r="L1096" s="1"/>
      <c r="M1096" s="1"/>
      <c r="N1096" s="1"/>
      <c r="O1096" s="1"/>
      <c r="P1096" s="6" t="s">
        <v>21</v>
      </c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customFormat="false" ht="21.75" hidden="false" customHeight="true" outlineLevel="0" collapsed="false">
      <c r="A1097" s="4" t="n">
        <v>43486</v>
      </c>
      <c r="B1097" s="18" t="s">
        <v>14</v>
      </c>
      <c r="C1097" s="14" t="s">
        <v>15</v>
      </c>
      <c r="D1097" s="14" t="s">
        <v>16</v>
      </c>
      <c r="E1097" s="14" t="s">
        <v>17</v>
      </c>
      <c r="F1097" s="19" t="s">
        <v>2811</v>
      </c>
      <c r="G1097" s="18" t="n">
        <v>967403558</v>
      </c>
      <c r="H1097" s="18" t="s">
        <v>2812</v>
      </c>
      <c r="I1097" s="18"/>
      <c r="J1097" s="1"/>
      <c r="K1097" s="1" t="s">
        <v>2813</v>
      </c>
      <c r="L1097" s="1"/>
      <c r="M1097" s="1"/>
      <c r="N1097" s="1"/>
      <c r="O1097" s="1"/>
      <c r="P1097" s="6" t="s">
        <v>133</v>
      </c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customFormat="false" ht="21.75" hidden="false" customHeight="true" outlineLevel="0" collapsed="false">
      <c r="A1098" s="4" t="n">
        <v>43486</v>
      </c>
      <c r="B1098" s="18" t="s">
        <v>14</v>
      </c>
      <c r="C1098" s="14" t="s">
        <v>15</v>
      </c>
      <c r="D1098" s="14" t="s">
        <v>16</v>
      </c>
      <c r="E1098" s="14" t="s">
        <v>17</v>
      </c>
      <c r="F1098" s="19" t="s">
        <v>2794</v>
      </c>
      <c r="G1098" s="18" t="n">
        <v>984314542</v>
      </c>
      <c r="H1098" s="18" t="s">
        <v>2795</v>
      </c>
      <c r="I1098" s="18"/>
      <c r="J1098" s="1"/>
      <c r="K1098" s="1" t="s">
        <v>2786</v>
      </c>
      <c r="L1098" s="1"/>
      <c r="M1098" s="1"/>
      <c r="N1098" s="1"/>
      <c r="O1098" s="1"/>
      <c r="P1098" s="6" t="s">
        <v>133</v>
      </c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customFormat="false" ht="21.75" hidden="false" customHeight="true" outlineLevel="0" collapsed="false">
      <c r="A1099" s="4" t="n">
        <v>43486</v>
      </c>
      <c r="B1099" s="18" t="s">
        <v>14</v>
      </c>
      <c r="C1099" s="14" t="s">
        <v>15</v>
      </c>
      <c r="D1099" s="14" t="s">
        <v>16</v>
      </c>
      <c r="E1099" s="14" t="s">
        <v>17</v>
      </c>
      <c r="F1099" s="19" t="s">
        <v>2814</v>
      </c>
      <c r="G1099" s="18" t="n">
        <v>996864571</v>
      </c>
      <c r="H1099" s="18" t="s">
        <v>2815</v>
      </c>
      <c r="I1099" s="18"/>
      <c r="J1099" s="1"/>
      <c r="K1099" s="1" t="s">
        <v>21</v>
      </c>
      <c r="L1099" s="1"/>
      <c r="M1099" s="1"/>
      <c r="N1099" s="1"/>
      <c r="O1099" s="1"/>
      <c r="P1099" s="6" t="s">
        <v>21</v>
      </c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customFormat="false" ht="21.75" hidden="false" customHeight="true" outlineLevel="0" collapsed="false">
      <c r="A1100" s="4" t="n">
        <v>43486</v>
      </c>
      <c r="B1100" s="8" t="s">
        <v>42</v>
      </c>
      <c r="C1100" s="14" t="s">
        <v>15</v>
      </c>
      <c r="D1100" s="14" t="s">
        <v>43</v>
      </c>
      <c r="E1100" s="14" t="s">
        <v>44</v>
      </c>
      <c r="F1100" s="14" t="s">
        <v>2816</v>
      </c>
      <c r="G1100" s="14" t="n">
        <f aca="false">+593981801034</f>
        <v>593981801034</v>
      </c>
      <c r="H1100" s="14" t="s">
        <v>2817</v>
      </c>
      <c r="I1100" s="14"/>
      <c r="J1100" s="1"/>
      <c r="K1100" s="1" t="s">
        <v>2818</v>
      </c>
      <c r="L1100" s="1"/>
      <c r="M1100" s="1"/>
      <c r="N1100" s="1"/>
      <c r="O1100" s="1"/>
      <c r="P1100" s="6" t="s">
        <v>751</v>
      </c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customFormat="false" ht="21.75" hidden="false" customHeight="true" outlineLevel="0" collapsed="false">
      <c r="A1101" s="4" t="n">
        <v>43486</v>
      </c>
      <c r="B1101" s="8" t="s">
        <v>42</v>
      </c>
      <c r="C1101" s="14" t="s">
        <v>15</v>
      </c>
      <c r="D1101" s="14" t="s">
        <v>43</v>
      </c>
      <c r="E1101" s="14" t="s">
        <v>109</v>
      </c>
      <c r="F1101" s="14" t="s">
        <v>2819</v>
      </c>
      <c r="G1101" s="14" t="n">
        <f aca="false">+593997578745</f>
        <v>593997578745</v>
      </c>
      <c r="H1101" s="14" t="s">
        <v>2820</v>
      </c>
      <c r="I1101" s="14"/>
      <c r="J1101" s="1"/>
      <c r="K1101" s="1" t="s">
        <v>21</v>
      </c>
      <c r="L1101" s="1"/>
      <c r="M1101" s="1"/>
      <c r="N1101" s="1"/>
      <c r="O1101" s="1"/>
      <c r="P1101" s="6" t="s">
        <v>21</v>
      </c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customFormat="false" ht="21.75" hidden="false" customHeight="true" outlineLevel="0" collapsed="false">
      <c r="A1102" s="4" t="n">
        <v>43486</v>
      </c>
      <c r="B1102" s="8" t="s">
        <v>42</v>
      </c>
      <c r="C1102" s="14" t="s">
        <v>15</v>
      </c>
      <c r="D1102" s="14" t="s">
        <v>43</v>
      </c>
      <c r="E1102" s="14" t="s">
        <v>109</v>
      </c>
      <c r="F1102" s="14" t="s">
        <v>2821</v>
      </c>
      <c r="G1102" s="14" t="n">
        <v>960995404</v>
      </c>
      <c r="H1102" s="14" t="s">
        <v>2822</v>
      </c>
      <c r="I1102" s="14"/>
      <c r="J1102" s="1"/>
      <c r="K1102" s="1" t="s">
        <v>21</v>
      </c>
      <c r="L1102" s="1"/>
      <c r="M1102" s="1"/>
      <c r="N1102" s="1"/>
      <c r="O1102" s="1"/>
      <c r="P1102" s="6" t="s">
        <v>21</v>
      </c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customFormat="false" ht="21.75" hidden="false" customHeight="true" outlineLevel="0" collapsed="false">
      <c r="A1103" s="4" t="n">
        <v>43486</v>
      </c>
      <c r="B1103" s="18" t="s">
        <v>161</v>
      </c>
      <c r="C1103" s="14" t="s">
        <v>15</v>
      </c>
      <c r="D1103" s="14" t="s">
        <v>16</v>
      </c>
      <c r="E1103" s="14" t="s">
        <v>17</v>
      </c>
      <c r="F1103" s="14" t="s">
        <v>2823</v>
      </c>
      <c r="G1103" s="14" t="n">
        <f aca="false">+593993061527</f>
        <v>593993061527</v>
      </c>
      <c r="H1103" s="14" t="s">
        <v>2824</v>
      </c>
      <c r="I1103" s="14"/>
      <c r="J1103" s="1"/>
      <c r="K1103" s="1" t="s">
        <v>21</v>
      </c>
      <c r="L1103" s="1"/>
      <c r="M1103" s="1"/>
      <c r="N1103" s="1"/>
      <c r="O1103" s="1"/>
      <c r="P1103" s="6" t="s">
        <v>21</v>
      </c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customFormat="false" ht="21.75" hidden="false" customHeight="true" outlineLevel="0" collapsed="false">
      <c r="A1104" s="4" t="n">
        <v>43486</v>
      </c>
      <c r="B1104" s="18" t="s">
        <v>166</v>
      </c>
      <c r="C1104" s="14" t="s">
        <v>15</v>
      </c>
      <c r="D1104" s="14" t="s">
        <v>16</v>
      </c>
      <c r="E1104" s="14" t="s">
        <v>17</v>
      </c>
      <c r="F1104" s="14" t="s">
        <v>2825</v>
      </c>
      <c r="G1104" s="14" t="n">
        <f aca="false">+5930991509308</f>
        <v>5930991509308</v>
      </c>
      <c r="H1104" s="14" t="s">
        <v>2826</v>
      </c>
      <c r="I1104" s="14"/>
      <c r="J1104" s="1"/>
      <c r="K1104" s="1" t="s">
        <v>1065</v>
      </c>
      <c r="L1104" s="1"/>
      <c r="M1104" s="1"/>
      <c r="N1104" s="1"/>
      <c r="O1104" s="1"/>
      <c r="P1104" s="6" t="s">
        <v>133</v>
      </c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customFormat="false" ht="21.75" hidden="false" customHeight="true" outlineLevel="0" collapsed="false">
      <c r="A1105" s="4" t="n">
        <v>43486</v>
      </c>
      <c r="B1105" s="18" t="s">
        <v>166</v>
      </c>
      <c r="C1105" s="14" t="s">
        <v>15</v>
      </c>
      <c r="D1105" s="14" t="s">
        <v>16</v>
      </c>
      <c r="E1105" s="14" t="s">
        <v>17</v>
      </c>
      <c r="F1105" s="14" t="s">
        <v>2827</v>
      </c>
      <c r="G1105" s="14" t="n">
        <f aca="false">+5930997973909</f>
        <v>5930997973909</v>
      </c>
      <c r="H1105" s="14" t="s">
        <v>2828</v>
      </c>
      <c r="I1105" s="14"/>
      <c r="J1105" s="1"/>
      <c r="K1105" s="1" t="s">
        <v>21</v>
      </c>
      <c r="L1105" s="1"/>
      <c r="M1105" s="1"/>
      <c r="N1105" s="1"/>
      <c r="O1105" s="1"/>
      <c r="P1105" s="6" t="s">
        <v>21</v>
      </c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customFormat="false" ht="21.75" hidden="false" customHeight="true" outlineLevel="0" collapsed="false">
      <c r="A1106" s="4" t="n">
        <v>43486</v>
      </c>
      <c r="B1106" s="18" t="s">
        <v>166</v>
      </c>
      <c r="C1106" s="14" t="s">
        <v>15</v>
      </c>
      <c r="D1106" s="14" t="s">
        <v>16</v>
      </c>
      <c r="E1106" s="14" t="s">
        <v>17</v>
      </c>
      <c r="F1106" s="14" t="s">
        <v>2829</v>
      </c>
      <c r="G1106" s="14" t="n">
        <f aca="false">+593992195676</f>
        <v>593992195676</v>
      </c>
      <c r="H1106" s="14" t="s">
        <v>2830</v>
      </c>
      <c r="I1106" s="14"/>
      <c r="J1106" s="1"/>
      <c r="K1106" s="1" t="s">
        <v>21</v>
      </c>
      <c r="L1106" s="1"/>
      <c r="M1106" s="1"/>
      <c r="N1106" s="1"/>
      <c r="O1106" s="1"/>
      <c r="P1106" s="6" t="s">
        <v>21</v>
      </c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customFormat="false" ht="21.75" hidden="false" customHeight="true" outlineLevel="0" collapsed="false">
      <c r="A1107" s="4" t="n">
        <v>43486</v>
      </c>
      <c r="B1107" s="14" t="s">
        <v>323</v>
      </c>
      <c r="C1107" s="14" t="s">
        <v>15</v>
      </c>
      <c r="D1107" s="14" t="s">
        <v>43</v>
      </c>
      <c r="E1107" s="14" t="s">
        <v>109</v>
      </c>
      <c r="F1107" s="14" t="s">
        <v>2831</v>
      </c>
      <c r="G1107" s="14" t="n">
        <f aca="false">+593939698995</f>
        <v>593939698995</v>
      </c>
      <c r="H1107" s="14" t="s">
        <v>2832</v>
      </c>
      <c r="I1107" s="14"/>
      <c r="J1107" s="1"/>
      <c r="K1107" s="1" t="s">
        <v>21</v>
      </c>
      <c r="L1107" s="1"/>
      <c r="M1107" s="1"/>
      <c r="N1107" s="1"/>
      <c r="O1107" s="1"/>
      <c r="P1107" s="6" t="s">
        <v>21</v>
      </c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customFormat="false" ht="21.75" hidden="false" customHeight="true" outlineLevel="0" collapsed="false">
      <c r="A1108" s="4" t="n">
        <v>43486</v>
      </c>
      <c r="B1108" s="14" t="s">
        <v>1106</v>
      </c>
      <c r="C1108" s="14" t="s">
        <v>15</v>
      </c>
      <c r="D1108" s="14" t="s">
        <v>43</v>
      </c>
      <c r="E1108" s="14" t="s">
        <v>109</v>
      </c>
      <c r="F1108" s="14" t="s">
        <v>2833</v>
      </c>
      <c r="G1108" s="14" t="n">
        <f aca="false">+593969963687</f>
        <v>593969963687</v>
      </c>
      <c r="H1108" s="14" t="s">
        <v>2834</v>
      </c>
      <c r="I1108" s="14"/>
      <c r="J1108" s="1"/>
      <c r="K1108" s="1" t="s">
        <v>2835</v>
      </c>
      <c r="L1108" s="1"/>
      <c r="M1108" s="1"/>
      <c r="N1108" s="1"/>
      <c r="O1108" s="1"/>
      <c r="P1108" s="6" t="s">
        <v>751</v>
      </c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customFormat="false" ht="21.75" hidden="false" customHeight="true" outlineLevel="0" collapsed="false">
      <c r="A1109" s="4" t="n">
        <v>43486</v>
      </c>
      <c r="B1109" s="14" t="s">
        <v>1478</v>
      </c>
      <c r="C1109" s="14" t="s">
        <v>26</v>
      </c>
      <c r="D1109" s="14" t="s">
        <v>43</v>
      </c>
      <c r="E1109" s="14" t="s">
        <v>109</v>
      </c>
      <c r="F1109" s="14" t="s">
        <v>2836</v>
      </c>
      <c r="G1109" s="14" t="n">
        <f aca="false">+5930997195102</f>
        <v>5930997195102</v>
      </c>
      <c r="H1109" s="14" t="s">
        <v>2837</v>
      </c>
      <c r="I1109" s="14"/>
      <c r="J1109" s="1"/>
      <c r="K1109" s="1" t="s">
        <v>21</v>
      </c>
      <c r="L1109" s="1"/>
      <c r="M1109" s="1"/>
      <c r="N1109" s="1"/>
      <c r="O1109" s="1"/>
      <c r="P1109" s="6" t="s">
        <v>21</v>
      </c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customFormat="false" ht="21.75" hidden="false" customHeight="true" outlineLevel="0" collapsed="false">
      <c r="A1110" s="4" t="n">
        <v>43486</v>
      </c>
      <c r="B1110" s="18" t="s">
        <v>108</v>
      </c>
      <c r="C1110" s="14" t="s">
        <v>15</v>
      </c>
      <c r="D1110" s="14" t="s">
        <v>16</v>
      </c>
      <c r="E1110" s="5" t="s">
        <v>109</v>
      </c>
      <c r="F1110" s="14" t="s">
        <v>2838</v>
      </c>
      <c r="G1110" s="14" t="n">
        <f aca="false">+593968551093</f>
        <v>593968551093</v>
      </c>
      <c r="H1110" s="14" t="s">
        <v>2839</v>
      </c>
      <c r="I1110" s="14"/>
      <c r="J1110" s="1"/>
      <c r="K1110" s="1" t="s">
        <v>21</v>
      </c>
      <c r="L1110" s="1"/>
      <c r="M1110" s="1"/>
      <c r="N1110" s="1"/>
      <c r="O1110" s="1"/>
      <c r="P1110" s="6" t="s">
        <v>21</v>
      </c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customFormat="false" ht="21.75" hidden="false" customHeight="true" outlineLevel="0" collapsed="false">
      <c r="A1111" s="4" t="n">
        <v>43486</v>
      </c>
      <c r="B1111" s="18" t="s">
        <v>48</v>
      </c>
      <c r="C1111" s="14" t="s">
        <v>15</v>
      </c>
      <c r="D1111" s="14" t="s">
        <v>43</v>
      </c>
      <c r="E1111" s="14" t="s">
        <v>44</v>
      </c>
      <c r="F1111" s="14" t="s">
        <v>2840</v>
      </c>
      <c r="G1111" s="14" t="n">
        <f aca="false">+593987018907</f>
        <v>593987018907</v>
      </c>
      <c r="H1111" s="14" t="s">
        <v>2841</v>
      </c>
      <c r="I1111" s="14"/>
      <c r="J1111" s="1"/>
      <c r="K1111" s="1" t="s">
        <v>21</v>
      </c>
      <c r="L1111" s="1"/>
      <c r="M1111" s="1"/>
      <c r="N1111" s="1"/>
      <c r="O1111" s="1"/>
      <c r="P1111" s="6" t="s">
        <v>21</v>
      </c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customFormat="false" ht="21.75" hidden="false" customHeight="true" outlineLevel="0" collapsed="false">
      <c r="A1112" s="4" t="n">
        <v>43486</v>
      </c>
      <c r="B1112" s="18" t="s">
        <v>48</v>
      </c>
      <c r="C1112" s="14" t="s">
        <v>15</v>
      </c>
      <c r="D1112" s="14" t="s">
        <v>43</v>
      </c>
      <c r="E1112" s="14" t="s">
        <v>44</v>
      </c>
      <c r="F1112" s="14" t="s">
        <v>2842</v>
      </c>
      <c r="G1112" s="14" t="n">
        <f aca="false">+593996321417</f>
        <v>593996321417</v>
      </c>
      <c r="H1112" s="14" t="s">
        <v>2843</v>
      </c>
      <c r="I1112" s="14"/>
      <c r="J1112" s="1"/>
      <c r="K1112" s="1" t="s">
        <v>21</v>
      </c>
      <c r="L1112" s="1"/>
      <c r="M1112" s="1"/>
      <c r="N1112" s="1"/>
      <c r="O1112" s="1"/>
      <c r="P1112" s="6" t="s">
        <v>21</v>
      </c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customFormat="false" ht="21.75" hidden="false" customHeight="true" outlineLevel="0" collapsed="false">
      <c r="A1113" s="4" t="n">
        <v>43486</v>
      </c>
      <c r="B1113" s="18" t="s">
        <v>48</v>
      </c>
      <c r="C1113" s="14" t="s">
        <v>15</v>
      </c>
      <c r="D1113" s="14" t="s">
        <v>43</v>
      </c>
      <c r="E1113" s="14" t="s">
        <v>44</v>
      </c>
      <c r="F1113" s="14" t="s">
        <v>2844</v>
      </c>
      <c r="G1113" s="14" t="n">
        <f aca="false">+593984534525</f>
        <v>593984534525</v>
      </c>
      <c r="H1113" s="14" t="s">
        <v>2845</v>
      </c>
      <c r="I1113" s="14"/>
      <c r="J1113" s="1"/>
      <c r="K1113" s="1" t="s">
        <v>174</v>
      </c>
      <c r="L1113" s="1"/>
      <c r="M1113" s="1"/>
      <c r="N1113" s="1"/>
      <c r="O1113" s="1"/>
      <c r="P1113" s="6" t="s">
        <v>31</v>
      </c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customFormat="false" ht="21.75" hidden="false" customHeight="true" outlineLevel="0" collapsed="false">
      <c r="A1114" s="4" t="n">
        <v>43486</v>
      </c>
      <c r="B1114" s="18" t="s">
        <v>48</v>
      </c>
      <c r="C1114" s="14" t="s">
        <v>26</v>
      </c>
      <c r="D1114" s="14" t="s">
        <v>43</v>
      </c>
      <c r="E1114" s="14" t="s">
        <v>44</v>
      </c>
      <c r="F1114" s="14" t="s">
        <v>2846</v>
      </c>
      <c r="G1114" s="14" t="n">
        <f aca="false">+593999012440</f>
        <v>593999012440</v>
      </c>
      <c r="H1114" s="14" t="s">
        <v>2847</v>
      </c>
      <c r="I1114" s="14"/>
      <c r="J1114" s="1"/>
      <c r="K1114" s="1" t="s">
        <v>21</v>
      </c>
      <c r="L1114" s="1"/>
      <c r="M1114" s="1"/>
      <c r="N1114" s="1"/>
      <c r="O1114" s="1"/>
      <c r="P1114" s="6" t="s">
        <v>21</v>
      </c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customFormat="false" ht="21.75" hidden="false" customHeight="true" outlineLevel="0" collapsed="false">
      <c r="A1115" s="4" t="n">
        <v>43486</v>
      </c>
      <c r="B1115" s="18" t="s">
        <v>48</v>
      </c>
      <c r="C1115" s="14" t="s">
        <v>15</v>
      </c>
      <c r="D1115" s="14" t="s">
        <v>43</v>
      </c>
      <c r="E1115" s="14" t="s">
        <v>44</v>
      </c>
      <c r="F1115" s="14" t="s">
        <v>2848</v>
      </c>
      <c r="G1115" s="14" t="n">
        <f aca="false">+5930988445812</f>
        <v>5930988445812</v>
      </c>
      <c r="H1115" s="14" t="s">
        <v>2849</v>
      </c>
      <c r="I1115" s="14"/>
      <c r="J1115" s="1"/>
      <c r="K1115" s="1" t="s">
        <v>21</v>
      </c>
      <c r="L1115" s="1"/>
      <c r="M1115" s="1"/>
      <c r="N1115" s="1"/>
      <c r="O1115" s="1"/>
      <c r="P1115" s="6" t="s">
        <v>21</v>
      </c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customFormat="false" ht="21.75" hidden="false" customHeight="true" outlineLevel="0" collapsed="false">
      <c r="A1116" s="4" t="n">
        <v>43486</v>
      </c>
      <c r="B1116" s="18" t="s">
        <v>48</v>
      </c>
      <c r="C1116" s="14" t="s">
        <v>15</v>
      </c>
      <c r="D1116" s="14" t="s">
        <v>43</v>
      </c>
      <c r="E1116" s="14" t="s">
        <v>44</v>
      </c>
      <c r="F1116" s="14" t="s">
        <v>1916</v>
      </c>
      <c r="G1116" s="14" t="n">
        <f aca="false">+593959170327</f>
        <v>593959170327</v>
      </c>
      <c r="H1116" s="14" t="s">
        <v>1917</v>
      </c>
      <c r="I1116" s="14"/>
      <c r="J1116" s="1"/>
      <c r="K1116" s="1" t="s">
        <v>21</v>
      </c>
      <c r="L1116" s="1"/>
      <c r="M1116" s="1"/>
      <c r="N1116" s="1"/>
      <c r="O1116" s="1"/>
      <c r="P1116" s="6" t="s">
        <v>21</v>
      </c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customFormat="false" ht="21.75" hidden="false" customHeight="true" outlineLevel="0" collapsed="false">
      <c r="A1117" s="4" t="n">
        <v>43486</v>
      </c>
      <c r="B1117" s="18" t="s">
        <v>48</v>
      </c>
      <c r="C1117" s="14" t="s">
        <v>15</v>
      </c>
      <c r="D1117" s="14" t="s">
        <v>43</v>
      </c>
      <c r="E1117" s="14" t="s">
        <v>109</v>
      </c>
      <c r="F1117" s="14" t="s">
        <v>2850</v>
      </c>
      <c r="G1117" s="14" t="n">
        <f aca="false">+5930989889763</f>
        <v>5930989889763</v>
      </c>
      <c r="H1117" s="14" t="s">
        <v>2851</v>
      </c>
      <c r="I1117" s="14"/>
      <c r="J1117" s="1"/>
      <c r="K1117" s="1" t="s">
        <v>2852</v>
      </c>
      <c r="L1117" s="1"/>
      <c r="M1117" s="1"/>
      <c r="N1117" s="1"/>
      <c r="O1117" s="1"/>
      <c r="P1117" s="6" t="s">
        <v>133</v>
      </c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customFormat="false" ht="21.75" hidden="false" customHeight="true" outlineLevel="0" collapsed="false">
      <c r="A1118" s="4" t="n">
        <v>43486</v>
      </c>
      <c r="B1118" s="18" t="s">
        <v>48</v>
      </c>
      <c r="C1118" s="14" t="s">
        <v>15</v>
      </c>
      <c r="D1118" s="14" t="s">
        <v>43</v>
      </c>
      <c r="E1118" s="14" t="s">
        <v>109</v>
      </c>
      <c r="F1118" s="14" t="s">
        <v>2853</v>
      </c>
      <c r="G1118" s="14" t="n">
        <f aca="false">+593993893825</f>
        <v>593993893825</v>
      </c>
      <c r="H1118" s="14" t="s">
        <v>2854</v>
      </c>
      <c r="I1118" s="14"/>
      <c r="J1118" s="1"/>
      <c r="K1118" s="1" t="s">
        <v>1081</v>
      </c>
      <c r="L1118" s="1"/>
      <c r="M1118" s="1"/>
      <c r="N1118" s="1"/>
      <c r="O1118" s="1"/>
      <c r="P1118" s="6" t="s">
        <v>133</v>
      </c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customFormat="false" ht="21.75" hidden="false" customHeight="true" outlineLevel="0" collapsed="false">
      <c r="A1119" s="4" t="n">
        <v>43486</v>
      </c>
      <c r="B1119" s="14" t="s">
        <v>48</v>
      </c>
      <c r="C1119" s="14" t="s">
        <v>15</v>
      </c>
      <c r="D1119" s="14" t="s">
        <v>43</v>
      </c>
      <c r="E1119" s="14" t="s">
        <v>109</v>
      </c>
      <c r="F1119" s="14" t="s">
        <v>2855</v>
      </c>
      <c r="G1119" s="14" t="n">
        <f aca="false">+593969939703</f>
        <v>593969939703</v>
      </c>
      <c r="H1119" s="14" t="s">
        <v>2856</v>
      </c>
      <c r="I1119" s="14"/>
      <c r="J1119" s="1"/>
      <c r="K1119" s="1" t="s">
        <v>1817</v>
      </c>
      <c r="L1119" s="1"/>
      <c r="M1119" s="1"/>
      <c r="N1119" s="1"/>
      <c r="O1119" s="1"/>
      <c r="P1119" s="6" t="s">
        <v>133</v>
      </c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customFormat="false" ht="21.75" hidden="false" customHeight="true" outlineLevel="0" collapsed="false">
      <c r="A1120" s="4" t="n">
        <v>43486</v>
      </c>
      <c r="B1120" s="14" t="s">
        <v>48</v>
      </c>
      <c r="C1120" s="14" t="s">
        <v>15</v>
      </c>
      <c r="D1120" s="14" t="s">
        <v>43</v>
      </c>
      <c r="E1120" s="14" t="s">
        <v>109</v>
      </c>
      <c r="F1120" s="14" t="s">
        <v>2857</v>
      </c>
      <c r="G1120" s="14" t="n">
        <f aca="false">+5930989028869</f>
        <v>5930989028869</v>
      </c>
      <c r="H1120" s="14" t="s">
        <v>2858</v>
      </c>
      <c r="I1120" s="14"/>
      <c r="J1120" s="1"/>
      <c r="K1120" s="1" t="s">
        <v>21</v>
      </c>
      <c r="L1120" s="1"/>
      <c r="M1120" s="1"/>
      <c r="N1120" s="1"/>
      <c r="O1120" s="1"/>
      <c r="P1120" s="6" t="s">
        <v>21</v>
      </c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customFormat="false" ht="21.75" hidden="false" customHeight="true" outlineLevel="0" collapsed="false">
      <c r="A1121" s="4" t="n">
        <v>43486</v>
      </c>
      <c r="B1121" s="18" t="s">
        <v>48</v>
      </c>
      <c r="C1121" s="14" t="s">
        <v>15</v>
      </c>
      <c r="D1121" s="14" t="s">
        <v>43</v>
      </c>
      <c r="E1121" s="14" t="s">
        <v>109</v>
      </c>
      <c r="F1121" s="14" t="s">
        <v>2859</v>
      </c>
      <c r="G1121" s="14" t="n">
        <f aca="false">+593989687737</f>
        <v>593989687737</v>
      </c>
      <c r="H1121" s="14" t="s">
        <v>2860</v>
      </c>
      <c r="I1121" s="14"/>
      <c r="J1121" s="1"/>
      <c r="K1121" s="1" t="s">
        <v>2861</v>
      </c>
      <c r="L1121" s="1"/>
      <c r="M1121" s="1"/>
      <c r="N1121" s="1"/>
      <c r="O1121" s="1"/>
      <c r="P1121" s="6" t="s">
        <v>751</v>
      </c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customFormat="false" ht="21.75" hidden="false" customHeight="true" outlineLevel="0" collapsed="false">
      <c r="A1122" s="4" t="n">
        <v>43486</v>
      </c>
      <c r="B1122" s="18" t="s">
        <v>48</v>
      </c>
      <c r="C1122" s="14" t="s">
        <v>15</v>
      </c>
      <c r="D1122" s="14" t="s">
        <v>43</v>
      </c>
      <c r="E1122" s="14" t="s">
        <v>109</v>
      </c>
      <c r="F1122" s="14" t="s">
        <v>2862</v>
      </c>
      <c r="G1122" s="14" t="n">
        <f aca="false">+593995452333</f>
        <v>593995452333</v>
      </c>
      <c r="H1122" s="14" t="s">
        <v>2863</v>
      </c>
      <c r="I1122" s="14"/>
      <c r="J1122" s="1"/>
      <c r="K1122" s="1" t="s">
        <v>2864</v>
      </c>
      <c r="L1122" s="1"/>
      <c r="M1122" s="1"/>
      <c r="N1122" s="1"/>
      <c r="O1122" s="1"/>
      <c r="P1122" s="6" t="s">
        <v>133</v>
      </c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customFormat="false" ht="21.75" hidden="false" customHeight="true" outlineLevel="0" collapsed="false">
      <c r="A1123" s="4" t="n">
        <v>43486</v>
      </c>
      <c r="B1123" s="18" t="s">
        <v>48</v>
      </c>
      <c r="C1123" s="14" t="s">
        <v>15</v>
      </c>
      <c r="D1123" s="14" t="s">
        <v>43</v>
      </c>
      <c r="E1123" s="14" t="s">
        <v>109</v>
      </c>
      <c r="F1123" s="19" t="s">
        <v>2865</v>
      </c>
      <c r="G1123" s="18" t="n">
        <v>961572257</v>
      </c>
      <c r="H1123" s="18" t="s">
        <v>2866</v>
      </c>
      <c r="I1123" s="18"/>
      <c r="J1123" s="1"/>
      <c r="K1123" s="1" t="s">
        <v>21</v>
      </c>
      <c r="L1123" s="1"/>
      <c r="M1123" s="1"/>
      <c r="N1123" s="1"/>
      <c r="O1123" s="1"/>
      <c r="P1123" s="6" t="s">
        <v>21</v>
      </c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customFormat="false" ht="21.75" hidden="false" customHeight="true" outlineLevel="0" collapsed="false">
      <c r="A1124" s="4" t="n">
        <v>43486</v>
      </c>
      <c r="B1124" s="18" t="s">
        <v>48</v>
      </c>
      <c r="C1124" s="14" t="s">
        <v>15</v>
      </c>
      <c r="D1124" s="14" t="s">
        <v>43</v>
      </c>
      <c r="E1124" s="14" t="s">
        <v>109</v>
      </c>
      <c r="F1124" s="19" t="s">
        <v>2867</v>
      </c>
      <c r="G1124" s="18" t="n">
        <v>988028253</v>
      </c>
      <c r="H1124" s="18" t="s">
        <v>2868</v>
      </c>
      <c r="I1124" s="18"/>
      <c r="J1124" s="1"/>
      <c r="K1124" s="1" t="s">
        <v>2869</v>
      </c>
      <c r="L1124" s="1"/>
      <c r="M1124" s="1"/>
      <c r="N1124" s="1"/>
      <c r="O1124" s="1"/>
      <c r="P1124" s="6" t="s">
        <v>133</v>
      </c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customFormat="false" ht="21.75" hidden="false" customHeight="true" outlineLevel="0" collapsed="false">
      <c r="A1125" s="4" t="n">
        <v>43486</v>
      </c>
      <c r="B1125" s="18" t="s">
        <v>48</v>
      </c>
      <c r="C1125" s="14" t="s">
        <v>15</v>
      </c>
      <c r="D1125" s="14" t="s">
        <v>43</v>
      </c>
      <c r="E1125" s="14" t="s">
        <v>109</v>
      </c>
      <c r="F1125" s="19" t="s">
        <v>2870</v>
      </c>
      <c r="G1125" s="18" t="n">
        <v>993621671</v>
      </c>
      <c r="H1125" s="18" t="s">
        <v>2871</v>
      </c>
      <c r="I1125" s="18"/>
      <c r="J1125" s="1"/>
      <c r="K1125" s="1" t="s">
        <v>21</v>
      </c>
      <c r="L1125" s="1"/>
      <c r="M1125" s="1"/>
      <c r="N1125" s="1"/>
      <c r="O1125" s="1"/>
      <c r="P1125" s="6" t="s">
        <v>21</v>
      </c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customFormat="false" ht="21.75" hidden="false" customHeight="true" outlineLevel="0" collapsed="false">
      <c r="A1126" s="4" t="n">
        <v>43486</v>
      </c>
      <c r="B1126" s="18" t="s">
        <v>48</v>
      </c>
      <c r="C1126" s="14" t="s">
        <v>15</v>
      </c>
      <c r="D1126" s="14" t="s">
        <v>43</v>
      </c>
      <c r="E1126" s="14" t="s">
        <v>109</v>
      </c>
      <c r="F1126" s="19" t="s">
        <v>1252</v>
      </c>
      <c r="G1126" s="18" t="n">
        <v>988738450</v>
      </c>
      <c r="H1126" s="18" t="s">
        <v>1253</v>
      </c>
      <c r="I1126" s="18"/>
      <c r="J1126" s="1"/>
      <c r="K1126" s="1" t="s">
        <v>21</v>
      </c>
      <c r="L1126" s="1"/>
      <c r="M1126" s="1"/>
      <c r="N1126" s="1"/>
      <c r="O1126" s="1"/>
      <c r="P1126" s="6" t="s">
        <v>21</v>
      </c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customFormat="false" ht="21.75" hidden="false" customHeight="true" outlineLevel="0" collapsed="false">
      <c r="A1127" s="4" t="n">
        <v>43486</v>
      </c>
      <c r="B1127" s="14" t="s">
        <v>532</v>
      </c>
      <c r="C1127" s="14" t="s">
        <v>15</v>
      </c>
      <c r="D1127" s="14" t="s">
        <v>43</v>
      </c>
      <c r="E1127" s="14" t="s">
        <v>109</v>
      </c>
      <c r="F1127" s="14" t="s">
        <v>2872</v>
      </c>
      <c r="G1127" s="14" t="n">
        <f aca="false">+5930995313398</f>
        <v>5930995313398</v>
      </c>
      <c r="H1127" s="14" t="s">
        <v>2873</v>
      </c>
      <c r="I1127" s="14"/>
      <c r="J1127" s="1"/>
      <c r="K1127" s="1" t="s">
        <v>727</v>
      </c>
      <c r="L1127" s="1"/>
      <c r="M1127" s="1"/>
      <c r="N1127" s="1"/>
      <c r="O1127" s="1"/>
      <c r="P1127" s="6" t="s">
        <v>133</v>
      </c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customFormat="false" ht="21.75" hidden="false" customHeight="true" outlineLevel="0" collapsed="false">
      <c r="A1128" s="4" t="n">
        <v>43486</v>
      </c>
      <c r="B1128" s="14" t="s">
        <v>532</v>
      </c>
      <c r="C1128" s="14" t="s">
        <v>15</v>
      </c>
      <c r="D1128" s="14" t="s">
        <v>43</v>
      </c>
      <c r="E1128" s="14" t="s">
        <v>109</v>
      </c>
      <c r="F1128" s="14" t="s">
        <v>2874</v>
      </c>
      <c r="G1128" s="14" t="n">
        <f aca="false">+593969804519</f>
        <v>593969804519</v>
      </c>
      <c r="H1128" s="14" t="s">
        <v>2875</v>
      </c>
      <c r="I1128" s="14"/>
      <c r="J1128" s="1"/>
      <c r="K1128" s="1" t="s">
        <v>21</v>
      </c>
      <c r="L1128" s="1"/>
      <c r="M1128" s="1"/>
      <c r="N1128" s="1"/>
      <c r="O1128" s="1"/>
      <c r="P1128" s="6" t="s">
        <v>21</v>
      </c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customFormat="false" ht="21.75" hidden="false" customHeight="true" outlineLevel="0" collapsed="false">
      <c r="A1129" s="4" t="n">
        <v>43486</v>
      </c>
      <c r="B1129" s="14" t="s">
        <v>532</v>
      </c>
      <c r="C1129" s="14" t="s">
        <v>15</v>
      </c>
      <c r="D1129" s="14" t="s">
        <v>43</v>
      </c>
      <c r="E1129" s="14" t="s">
        <v>109</v>
      </c>
      <c r="F1129" s="14" t="s">
        <v>2876</v>
      </c>
      <c r="G1129" s="14" t="n">
        <f aca="false">+593982016348</f>
        <v>593982016348</v>
      </c>
      <c r="H1129" s="14" t="s">
        <v>2877</v>
      </c>
      <c r="I1129" s="14"/>
      <c r="J1129" s="1"/>
      <c r="K1129" s="1" t="s">
        <v>21</v>
      </c>
      <c r="L1129" s="1"/>
      <c r="M1129" s="1"/>
      <c r="N1129" s="1"/>
      <c r="O1129" s="1"/>
      <c r="P1129" s="6" t="s">
        <v>21</v>
      </c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customFormat="false" ht="21.75" hidden="false" customHeight="true" outlineLevel="0" collapsed="false">
      <c r="A1130" s="4" t="n">
        <v>43486</v>
      </c>
      <c r="B1130" s="18" t="s">
        <v>127</v>
      </c>
      <c r="C1130" s="14" t="s">
        <v>15</v>
      </c>
      <c r="D1130" s="14" t="s">
        <v>43</v>
      </c>
      <c r="E1130" s="14" t="s">
        <v>44</v>
      </c>
      <c r="F1130" s="14" t="s">
        <v>2878</v>
      </c>
      <c r="G1130" s="14" t="n">
        <f aca="false">+593998481059</f>
        <v>593998481059</v>
      </c>
      <c r="H1130" s="14" t="s">
        <v>2879</v>
      </c>
      <c r="I1130" s="14"/>
      <c r="J1130" s="1"/>
      <c r="K1130" s="1" t="s">
        <v>2880</v>
      </c>
      <c r="L1130" s="1"/>
      <c r="M1130" s="1"/>
      <c r="N1130" s="1"/>
      <c r="O1130" s="1"/>
      <c r="P1130" s="6" t="s">
        <v>133</v>
      </c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customFormat="false" ht="21.75" hidden="false" customHeight="true" outlineLevel="0" collapsed="false">
      <c r="A1131" s="4" t="n">
        <v>43486</v>
      </c>
      <c r="B1131" s="18" t="s">
        <v>127</v>
      </c>
      <c r="C1131" s="14" t="s">
        <v>15</v>
      </c>
      <c r="D1131" s="14" t="s">
        <v>43</v>
      </c>
      <c r="E1131" s="14" t="s">
        <v>44</v>
      </c>
      <c r="F1131" s="14" t="s">
        <v>2881</v>
      </c>
      <c r="G1131" s="14" t="n">
        <f aca="false">+5930968513050</f>
        <v>5930968513050</v>
      </c>
      <c r="H1131" s="14" t="s">
        <v>2882</v>
      </c>
      <c r="I1131" s="14"/>
      <c r="J1131" s="1"/>
      <c r="K1131" s="1" t="s">
        <v>21</v>
      </c>
      <c r="L1131" s="1"/>
      <c r="M1131" s="1"/>
      <c r="N1131" s="1"/>
      <c r="O1131" s="1"/>
      <c r="P1131" s="6" t="s">
        <v>21</v>
      </c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customFormat="false" ht="21.75" hidden="false" customHeight="true" outlineLevel="0" collapsed="false">
      <c r="A1132" s="4" t="n">
        <v>43486</v>
      </c>
      <c r="B1132" s="14" t="s">
        <v>127</v>
      </c>
      <c r="C1132" s="14" t="s">
        <v>15</v>
      </c>
      <c r="D1132" s="14" t="s">
        <v>43</v>
      </c>
      <c r="E1132" s="14" t="s">
        <v>109</v>
      </c>
      <c r="F1132" s="14" t="s">
        <v>2883</v>
      </c>
      <c r="G1132" s="14" t="n">
        <f aca="false">+593959778597</f>
        <v>593959778597</v>
      </c>
      <c r="H1132" s="14" t="s">
        <v>2884</v>
      </c>
      <c r="I1132" s="14"/>
      <c r="J1132" s="1"/>
      <c r="K1132" s="1" t="s">
        <v>21</v>
      </c>
      <c r="L1132" s="1"/>
      <c r="M1132" s="1"/>
      <c r="N1132" s="1"/>
      <c r="O1132" s="1"/>
      <c r="P1132" s="6" t="s">
        <v>21</v>
      </c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customFormat="false" ht="21.75" hidden="false" customHeight="true" outlineLevel="0" collapsed="false">
      <c r="A1133" s="4" t="n">
        <v>43486</v>
      </c>
      <c r="B1133" s="18" t="s">
        <v>127</v>
      </c>
      <c r="C1133" s="14" t="s">
        <v>15</v>
      </c>
      <c r="D1133" s="14" t="s">
        <v>43</v>
      </c>
      <c r="E1133" s="14" t="s">
        <v>109</v>
      </c>
      <c r="F1133" s="19" t="s">
        <v>2885</v>
      </c>
      <c r="G1133" s="18" t="n">
        <v>992369271</v>
      </c>
      <c r="H1133" s="18" t="s">
        <v>2886</v>
      </c>
      <c r="I1133" s="18"/>
      <c r="J1133" s="1"/>
      <c r="K1133" s="1" t="s">
        <v>2887</v>
      </c>
      <c r="L1133" s="1"/>
      <c r="M1133" s="1"/>
      <c r="N1133" s="1"/>
      <c r="O1133" s="1"/>
      <c r="P1133" s="6" t="s">
        <v>751</v>
      </c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customFormat="false" ht="21.75" hidden="false" customHeight="true" outlineLevel="0" collapsed="false">
      <c r="A1134" s="4" t="n">
        <v>43486</v>
      </c>
      <c r="B1134" s="14" t="s">
        <v>1114</v>
      </c>
      <c r="C1134" s="14" t="s">
        <v>15</v>
      </c>
      <c r="D1134" s="14" t="s">
        <v>43</v>
      </c>
      <c r="E1134" s="14" t="s">
        <v>109</v>
      </c>
      <c r="F1134" s="14" t="s">
        <v>2888</v>
      </c>
      <c r="G1134" s="14" t="n">
        <f aca="false">+593989904176</f>
        <v>593989904176</v>
      </c>
      <c r="H1134" s="14" t="s">
        <v>2889</v>
      </c>
      <c r="I1134" s="14"/>
      <c r="J1134" s="1"/>
      <c r="K1134" s="1" t="s">
        <v>2890</v>
      </c>
      <c r="L1134" s="1"/>
      <c r="M1134" s="1"/>
      <c r="N1134" s="1"/>
      <c r="O1134" s="1"/>
      <c r="P1134" s="6" t="s">
        <v>133</v>
      </c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customFormat="false" ht="21.75" hidden="false" customHeight="true" outlineLevel="0" collapsed="false">
      <c r="A1135" s="4" t="n">
        <v>43486</v>
      </c>
      <c r="B1135" s="14" t="s">
        <v>1114</v>
      </c>
      <c r="C1135" s="14" t="s">
        <v>15</v>
      </c>
      <c r="D1135" s="14" t="s">
        <v>43</v>
      </c>
      <c r="E1135" s="14" t="s">
        <v>109</v>
      </c>
      <c r="F1135" s="14" t="s">
        <v>2891</v>
      </c>
      <c r="G1135" s="14" t="n">
        <f aca="false">+593981797471</f>
        <v>593981797471</v>
      </c>
      <c r="H1135" s="14" t="s">
        <v>2892</v>
      </c>
      <c r="I1135" s="14"/>
      <c r="J1135" s="1"/>
      <c r="K1135" s="1" t="s">
        <v>21</v>
      </c>
      <c r="L1135" s="1"/>
      <c r="M1135" s="1"/>
      <c r="N1135" s="1"/>
      <c r="O1135" s="1"/>
      <c r="P1135" s="6" t="s">
        <v>21</v>
      </c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customFormat="false" ht="21.75" hidden="false" customHeight="true" outlineLevel="0" collapsed="false">
      <c r="A1136" s="4" t="n">
        <v>43486</v>
      </c>
      <c r="B1136" s="14" t="s">
        <v>1114</v>
      </c>
      <c r="C1136" s="14" t="s">
        <v>15</v>
      </c>
      <c r="D1136" s="14" t="s">
        <v>43</v>
      </c>
      <c r="E1136" s="14" t="s">
        <v>109</v>
      </c>
      <c r="F1136" s="14" t="s">
        <v>2893</v>
      </c>
      <c r="G1136" s="14" t="n">
        <f aca="false">+593960021173</f>
        <v>593960021173</v>
      </c>
      <c r="H1136" s="14" t="s">
        <v>2894</v>
      </c>
      <c r="I1136" s="14"/>
      <c r="J1136" s="1"/>
      <c r="K1136" s="1" t="s">
        <v>21</v>
      </c>
      <c r="L1136" s="1"/>
      <c r="M1136" s="1"/>
      <c r="N1136" s="1"/>
      <c r="O1136" s="1"/>
      <c r="P1136" s="6" t="s">
        <v>21</v>
      </c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customFormat="false" ht="21.75" hidden="false" customHeight="true" outlineLevel="0" collapsed="false">
      <c r="A1137" s="4" t="n">
        <v>43486</v>
      </c>
      <c r="B1137" s="14" t="s">
        <v>1114</v>
      </c>
      <c r="C1137" s="14" t="s">
        <v>15</v>
      </c>
      <c r="D1137" s="14" t="s">
        <v>43</v>
      </c>
      <c r="E1137" s="14" t="s">
        <v>109</v>
      </c>
      <c r="F1137" s="14" t="s">
        <v>2895</v>
      </c>
      <c r="G1137" s="14" t="n">
        <f aca="false">+5930987921801</f>
        <v>5930987921801</v>
      </c>
      <c r="H1137" s="14" t="s">
        <v>2896</v>
      </c>
      <c r="I1137" s="14"/>
      <c r="J1137" s="1"/>
      <c r="K1137" s="1" t="s">
        <v>21</v>
      </c>
      <c r="L1137" s="1"/>
      <c r="M1137" s="1"/>
      <c r="N1137" s="1"/>
      <c r="O1137" s="1"/>
      <c r="P1137" s="6" t="s">
        <v>21</v>
      </c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customFormat="false" ht="21.75" hidden="false" customHeight="true" outlineLevel="0" collapsed="false">
      <c r="A1138" s="4" t="n">
        <v>43486</v>
      </c>
      <c r="B1138" s="18" t="s">
        <v>1114</v>
      </c>
      <c r="C1138" s="14" t="s">
        <v>15</v>
      </c>
      <c r="D1138" s="14" t="s">
        <v>43</v>
      </c>
      <c r="E1138" s="14" t="s">
        <v>109</v>
      </c>
      <c r="F1138" s="19" t="s">
        <v>2897</v>
      </c>
      <c r="G1138" s="18" t="n">
        <v>990144419</v>
      </c>
      <c r="H1138" s="18" t="s">
        <v>2898</v>
      </c>
      <c r="I1138" s="18"/>
      <c r="J1138" s="1"/>
      <c r="K1138" s="1" t="s">
        <v>428</v>
      </c>
      <c r="L1138" s="1"/>
      <c r="M1138" s="1"/>
      <c r="N1138" s="1"/>
      <c r="O1138" s="1"/>
      <c r="P1138" s="6" t="s">
        <v>133</v>
      </c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customFormat="false" ht="21.75" hidden="false" customHeight="true" outlineLevel="0" collapsed="false">
      <c r="A1139" s="4" t="n">
        <v>43486</v>
      </c>
      <c r="B1139" s="18" t="s">
        <v>1114</v>
      </c>
      <c r="C1139" s="14" t="s">
        <v>15</v>
      </c>
      <c r="D1139" s="14" t="s">
        <v>43</v>
      </c>
      <c r="E1139" s="14" t="s">
        <v>109</v>
      </c>
      <c r="F1139" s="19" t="s">
        <v>2720</v>
      </c>
      <c r="G1139" s="18" t="n">
        <v>988380439</v>
      </c>
      <c r="H1139" s="18" t="s">
        <v>2721</v>
      </c>
      <c r="I1139" s="18"/>
      <c r="J1139" s="1"/>
      <c r="K1139" s="1" t="s">
        <v>1081</v>
      </c>
      <c r="L1139" s="1"/>
      <c r="M1139" s="1"/>
      <c r="N1139" s="1"/>
      <c r="O1139" s="1"/>
      <c r="P1139" s="6" t="s">
        <v>133</v>
      </c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customFormat="false" ht="21.75" hidden="false" customHeight="true" outlineLevel="0" collapsed="false">
      <c r="A1140" s="4" t="n">
        <v>43486</v>
      </c>
      <c r="B1140" s="18" t="s">
        <v>415</v>
      </c>
      <c r="C1140" s="14" t="s">
        <v>15</v>
      </c>
      <c r="D1140" s="14" t="s">
        <v>43</v>
      </c>
      <c r="E1140" s="14" t="s">
        <v>44</v>
      </c>
      <c r="F1140" s="14" t="s">
        <v>2899</v>
      </c>
      <c r="G1140" s="14" t="n">
        <f aca="false">+593992386874</f>
        <v>593992386874</v>
      </c>
      <c r="H1140" s="14" t="s">
        <v>2900</v>
      </c>
      <c r="I1140" s="14"/>
      <c r="J1140" s="1"/>
      <c r="K1140" s="1" t="s">
        <v>21</v>
      </c>
      <c r="L1140" s="1"/>
      <c r="M1140" s="1"/>
      <c r="N1140" s="1"/>
      <c r="O1140" s="1"/>
      <c r="P1140" s="6" t="s">
        <v>21</v>
      </c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customFormat="false" ht="21.75" hidden="false" customHeight="true" outlineLevel="0" collapsed="false">
      <c r="A1141" s="4" t="n">
        <v>43486</v>
      </c>
      <c r="B1141" s="18" t="s">
        <v>415</v>
      </c>
      <c r="C1141" s="14" t="s">
        <v>15</v>
      </c>
      <c r="D1141" s="14" t="s">
        <v>43</v>
      </c>
      <c r="E1141" s="14" t="s">
        <v>44</v>
      </c>
      <c r="F1141" s="14" t="s">
        <v>2901</v>
      </c>
      <c r="G1141" s="14" t="n">
        <f aca="false">+593988792685</f>
        <v>593988792685</v>
      </c>
      <c r="H1141" s="14" t="s">
        <v>2902</v>
      </c>
      <c r="I1141" s="14"/>
      <c r="J1141" s="1"/>
      <c r="K1141" s="1" t="s">
        <v>2903</v>
      </c>
      <c r="L1141" s="1"/>
      <c r="M1141" s="1"/>
      <c r="N1141" s="1"/>
      <c r="O1141" s="1"/>
      <c r="P1141" s="6" t="s">
        <v>133</v>
      </c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customFormat="false" ht="21.75" hidden="false" customHeight="true" outlineLevel="0" collapsed="false">
      <c r="A1142" s="4" t="n">
        <v>43486</v>
      </c>
      <c r="B1142" s="14" t="s">
        <v>415</v>
      </c>
      <c r="C1142" s="14" t="s">
        <v>15</v>
      </c>
      <c r="D1142" s="14" t="s">
        <v>43</v>
      </c>
      <c r="E1142" s="14" t="s">
        <v>109</v>
      </c>
      <c r="F1142" s="14" t="s">
        <v>2904</v>
      </c>
      <c r="G1142" s="14" t="n">
        <f aca="false">+593996222723</f>
        <v>593996222723</v>
      </c>
      <c r="H1142" s="14" t="s">
        <v>2905</v>
      </c>
      <c r="I1142" s="14"/>
      <c r="J1142" s="1"/>
      <c r="K1142" s="1" t="s">
        <v>21</v>
      </c>
      <c r="L1142" s="1"/>
      <c r="M1142" s="1"/>
      <c r="N1142" s="1"/>
      <c r="O1142" s="1"/>
      <c r="P1142" s="6" t="s">
        <v>21</v>
      </c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customFormat="false" ht="21.75" hidden="false" customHeight="true" outlineLevel="0" collapsed="false">
      <c r="A1143" s="4" t="n">
        <v>43486</v>
      </c>
      <c r="B1143" s="18" t="s">
        <v>415</v>
      </c>
      <c r="C1143" s="14" t="s">
        <v>15</v>
      </c>
      <c r="D1143" s="14" t="s">
        <v>43</v>
      </c>
      <c r="E1143" s="14" t="s">
        <v>109</v>
      </c>
      <c r="F1143" s="19" t="s">
        <v>2906</v>
      </c>
      <c r="G1143" s="18"/>
      <c r="H1143" s="18" t="s">
        <v>2907</v>
      </c>
      <c r="I1143" s="18"/>
      <c r="J1143" s="1"/>
      <c r="K1143" s="1" t="s">
        <v>2908</v>
      </c>
      <c r="L1143" s="1" t="s">
        <v>2909</v>
      </c>
      <c r="M1143" s="1"/>
      <c r="N1143" s="1"/>
      <c r="O1143" s="1"/>
      <c r="P1143" s="6" t="s">
        <v>31</v>
      </c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customFormat="false" ht="21.75" hidden="false" customHeight="true" outlineLevel="0" collapsed="false">
      <c r="A1144" s="4" t="n">
        <v>43486</v>
      </c>
      <c r="B1144" s="14" t="s">
        <v>352</v>
      </c>
      <c r="C1144" s="14" t="s">
        <v>15</v>
      </c>
      <c r="D1144" s="14" t="s">
        <v>43</v>
      </c>
      <c r="E1144" s="14" t="s">
        <v>109</v>
      </c>
      <c r="F1144" s="14" t="s">
        <v>2910</v>
      </c>
      <c r="G1144" s="14" t="n">
        <f aca="false">+593983763427</f>
        <v>593983763427</v>
      </c>
      <c r="H1144" s="14" t="s">
        <v>2911</v>
      </c>
      <c r="I1144" s="14"/>
      <c r="J1144" s="1"/>
      <c r="K1144" s="1" t="s">
        <v>21</v>
      </c>
      <c r="L1144" s="1"/>
      <c r="M1144" s="1"/>
      <c r="N1144" s="1"/>
      <c r="O1144" s="1"/>
      <c r="P1144" s="6" t="s">
        <v>21</v>
      </c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customFormat="false" ht="21.75" hidden="false" customHeight="true" outlineLevel="0" collapsed="false">
      <c r="A1145" s="4" t="n">
        <v>43486</v>
      </c>
      <c r="B1145" s="18" t="s">
        <v>352</v>
      </c>
      <c r="C1145" s="14" t="s">
        <v>15</v>
      </c>
      <c r="D1145" s="14" t="s">
        <v>43</v>
      </c>
      <c r="E1145" s="14" t="s">
        <v>109</v>
      </c>
      <c r="F1145" s="19" t="s">
        <v>2912</v>
      </c>
      <c r="G1145" s="18" t="n">
        <v>999419004</v>
      </c>
      <c r="H1145" s="18" t="s">
        <v>2913</v>
      </c>
      <c r="I1145" s="18"/>
      <c r="J1145" s="1"/>
      <c r="K1145" s="1" t="s">
        <v>673</v>
      </c>
      <c r="L1145" s="1"/>
      <c r="M1145" s="1"/>
      <c r="N1145" s="1"/>
      <c r="O1145" s="1"/>
      <c r="P1145" s="6" t="s">
        <v>341</v>
      </c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customFormat="false" ht="21.75" hidden="false" customHeight="true" outlineLevel="0" collapsed="false">
      <c r="A1146" s="4" t="n">
        <v>43486</v>
      </c>
      <c r="B1146" s="18" t="s">
        <v>352</v>
      </c>
      <c r="C1146" s="14" t="s">
        <v>15</v>
      </c>
      <c r="D1146" s="14" t="s">
        <v>43</v>
      </c>
      <c r="E1146" s="14" t="s">
        <v>109</v>
      </c>
      <c r="F1146" s="19" t="s">
        <v>2914</v>
      </c>
      <c r="G1146" s="19"/>
      <c r="H1146" s="18" t="s">
        <v>2915</v>
      </c>
      <c r="I1146" s="18"/>
      <c r="J1146" s="1"/>
      <c r="K1146" s="1" t="s">
        <v>2916</v>
      </c>
      <c r="L1146" s="1"/>
      <c r="M1146" s="1"/>
      <c r="N1146" s="1"/>
      <c r="O1146" s="1"/>
      <c r="P1146" s="6" t="s">
        <v>133</v>
      </c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customFormat="false" ht="21.75" hidden="false" customHeight="true" outlineLevel="0" collapsed="false">
      <c r="A1147" s="4" t="n">
        <v>43486</v>
      </c>
      <c r="B1147" s="18" t="s">
        <v>178</v>
      </c>
      <c r="C1147" s="14" t="s">
        <v>15</v>
      </c>
      <c r="D1147" s="14" t="s">
        <v>43</v>
      </c>
      <c r="E1147" s="14" t="s">
        <v>44</v>
      </c>
      <c r="F1147" s="14" t="s">
        <v>2917</v>
      </c>
      <c r="G1147" s="14" t="n">
        <f aca="false">+593996882648</f>
        <v>593996882648</v>
      </c>
      <c r="H1147" s="14" t="s">
        <v>2918</v>
      </c>
      <c r="I1147" s="14"/>
      <c r="J1147" s="1"/>
      <c r="K1147" s="1" t="s">
        <v>21</v>
      </c>
      <c r="L1147" s="1"/>
      <c r="M1147" s="1"/>
      <c r="N1147" s="1"/>
      <c r="O1147" s="1"/>
      <c r="P1147" s="6" t="s">
        <v>21</v>
      </c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customFormat="false" ht="21.75" hidden="false" customHeight="true" outlineLevel="0" collapsed="false">
      <c r="A1148" s="4" t="n">
        <v>43486</v>
      </c>
      <c r="B1148" s="18" t="s">
        <v>178</v>
      </c>
      <c r="C1148" s="14" t="s">
        <v>15</v>
      </c>
      <c r="D1148" s="14" t="s">
        <v>43</v>
      </c>
      <c r="E1148" s="14" t="s">
        <v>44</v>
      </c>
      <c r="F1148" s="14" t="s">
        <v>2919</v>
      </c>
      <c r="G1148" s="14" t="n">
        <f aca="false">+593980612922</f>
        <v>593980612922</v>
      </c>
      <c r="H1148" s="14" t="s">
        <v>2920</v>
      </c>
      <c r="I1148" s="14"/>
      <c r="J1148" s="1"/>
      <c r="K1148" s="1" t="s">
        <v>21</v>
      </c>
      <c r="L1148" s="1"/>
      <c r="M1148" s="1"/>
      <c r="N1148" s="1"/>
      <c r="O1148" s="1"/>
      <c r="P1148" s="6" t="s">
        <v>21</v>
      </c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customFormat="false" ht="21.75" hidden="false" customHeight="true" outlineLevel="0" collapsed="false">
      <c r="A1149" s="4" t="n">
        <v>43486</v>
      </c>
      <c r="B1149" s="18" t="s">
        <v>178</v>
      </c>
      <c r="C1149" s="14" t="s">
        <v>15</v>
      </c>
      <c r="D1149" s="14" t="s">
        <v>43</v>
      </c>
      <c r="E1149" s="14" t="s">
        <v>44</v>
      </c>
      <c r="F1149" s="14" t="s">
        <v>2921</v>
      </c>
      <c r="G1149" s="14" t="n">
        <f aca="false">+593999714384</f>
        <v>593999714384</v>
      </c>
      <c r="H1149" s="14" t="s">
        <v>2922</v>
      </c>
      <c r="I1149" s="14"/>
      <c r="J1149" s="1"/>
      <c r="K1149" s="1" t="s">
        <v>21</v>
      </c>
      <c r="L1149" s="1"/>
      <c r="M1149" s="1"/>
      <c r="N1149" s="1"/>
      <c r="O1149" s="1"/>
      <c r="P1149" s="6" t="s">
        <v>21</v>
      </c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customFormat="false" ht="21.75" hidden="false" customHeight="true" outlineLevel="0" collapsed="false">
      <c r="A1150" s="4" t="n">
        <v>43486</v>
      </c>
      <c r="B1150" s="18" t="s">
        <v>81</v>
      </c>
      <c r="C1150" s="14" t="s">
        <v>15</v>
      </c>
      <c r="D1150" s="14" t="s">
        <v>43</v>
      </c>
      <c r="E1150" s="14" t="s">
        <v>44</v>
      </c>
      <c r="F1150" s="14" t="s">
        <v>2923</v>
      </c>
      <c r="G1150" s="14" t="n">
        <f aca="false">+593982905266</f>
        <v>593982905266</v>
      </c>
      <c r="H1150" s="14" t="s">
        <v>2924</v>
      </c>
      <c r="I1150" s="14"/>
      <c r="J1150" s="1"/>
      <c r="K1150" s="1" t="s">
        <v>2925</v>
      </c>
      <c r="L1150" s="1"/>
      <c r="M1150" s="1"/>
      <c r="N1150" s="1"/>
      <c r="O1150" s="1"/>
      <c r="P1150" s="6" t="s">
        <v>133</v>
      </c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customFormat="false" ht="21.75" hidden="false" customHeight="true" outlineLevel="0" collapsed="false">
      <c r="A1151" s="4" t="n">
        <v>43486</v>
      </c>
      <c r="B1151" s="14" t="s">
        <v>81</v>
      </c>
      <c r="C1151" s="14" t="s">
        <v>15</v>
      </c>
      <c r="D1151" s="14" t="s">
        <v>43</v>
      </c>
      <c r="E1151" s="14" t="s">
        <v>109</v>
      </c>
      <c r="F1151" s="14" t="s">
        <v>2926</v>
      </c>
      <c r="G1151" s="14" t="n">
        <f aca="false">+5930959189949</f>
        <v>5930959189949</v>
      </c>
      <c r="H1151" s="14" t="s">
        <v>2927</v>
      </c>
      <c r="I1151" s="14"/>
      <c r="J1151" s="1"/>
      <c r="K1151" s="1" t="s">
        <v>2928</v>
      </c>
      <c r="L1151" s="1"/>
      <c r="M1151" s="1"/>
      <c r="N1151" s="1"/>
      <c r="O1151" s="1"/>
      <c r="P1151" s="6" t="s">
        <v>133</v>
      </c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customFormat="false" ht="21.75" hidden="false" customHeight="true" outlineLevel="0" collapsed="false">
      <c r="A1152" s="4" t="n">
        <v>43486</v>
      </c>
      <c r="B1152" s="14" t="s">
        <v>81</v>
      </c>
      <c r="C1152" s="14" t="s">
        <v>15</v>
      </c>
      <c r="D1152" s="14" t="s">
        <v>43</v>
      </c>
      <c r="E1152" s="14" t="s">
        <v>109</v>
      </c>
      <c r="F1152" s="14" t="s">
        <v>2929</v>
      </c>
      <c r="G1152" s="14" t="n">
        <f aca="false">+593996143984</f>
        <v>593996143984</v>
      </c>
      <c r="H1152" s="14" t="s">
        <v>2930</v>
      </c>
      <c r="I1152" s="14"/>
      <c r="J1152" s="1"/>
      <c r="K1152" s="1" t="s">
        <v>21</v>
      </c>
      <c r="L1152" s="1"/>
      <c r="M1152" s="1"/>
      <c r="N1152" s="1"/>
      <c r="O1152" s="1"/>
      <c r="P1152" s="6" t="s">
        <v>21</v>
      </c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customFormat="false" ht="21.75" hidden="false" customHeight="true" outlineLevel="0" collapsed="false">
      <c r="A1153" s="4" t="n">
        <v>43486</v>
      </c>
      <c r="B1153" s="14" t="s">
        <v>911</v>
      </c>
      <c r="C1153" s="14" t="s">
        <v>15</v>
      </c>
      <c r="D1153" s="14" t="s">
        <v>16</v>
      </c>
      <c r="E1153" s="14" t="s">
        <v>17</v>
      </c>
      <c r="F1153" s="14" t="s">
        <v>2931</v>
      </c>
      <c r="G1153" s="14" t="n">
        <f aca="false">+593993701203</f>
        <v>593993701203</v>
      </c>
      <c r="H1153" s="14" t="s">
        <v>2932</v>
      </c>
      <c r="I1153" s="14"/>
      <c r="J1153" s="1"/>
      <c r="K1153" s="1" t="s">
        <v>2933</v>
      </c>
      <c r="L1153" s="1"/>
      <c r="M1153" s="1"/>
      <c r="N1153" s="1"/>
      <c r="O1153" s="1"/>
      <c r="P1153" s="6" t="s">
        <v>133</v>
      </c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customFormat="false" ht="21.75" hidden="false" customHeight="true" outlineLevel="0" collapsed="false">
      <c r="A1154" s="4" t="n">
        <v>43486</v>
      </c>
      <c r="B1154" s="11" t="s">
        <v>286</v>
      </c>
      <c r="C1154" s="14" t="s">
        <v>15</v>
      </c>
      <c r="D1154" s="14" t="s">
        <v>16</v>
      </c>
      <c r="E1154" s="14" t="s">
        <v>17</v>
      </c>
      <c r="F1154" s="14" t="s">
        <v>2934</v>
      </c>
      <c r="G1154" s="14" t="n">
        <f aca="false">+593996343527</f>
        <v>593996343527</v>
      </c>
      <c r="H1154" s="14" t="s">
        <v>2935</v>
      </c>
      <c r="I1154" s="14"/>
      <c r="J1154" s="1"/>
      <c r="K1154" s="1" t="s">
        <v>2936</v>
      </c>
      <c r="L1154" s="1"/>
      <c r="M1154" s="1"/>
      <c r="N1154" s="1"/>
      <c r="O1154" s="1"/>
      <c r="P1154" s="6" t="s">
        <v>133</v>
      </c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customFormat="false" ht="21.75" hidden="false" customHeight="true" outlineLevel="0" collapsed="false">
      <c r="A1155" s="4" t="n">
        <v>43486</v>
      </c>
      <c r="B1155" s="11" t="s">
        <v>286</v>
      </c>
      <c r="C1155" s="14" t="s">
        <v>15</v>
      </c>
      <c r="D1155" s="14" t="s">
        <v>16</v>
      </c>
      <c r="E1155" s="14" t="s">
        <v>17</v>
      </c>
      <c r="F1155" s="14" t="s">
        <v>2937</v>
      </c>
      <c r="G1155" s="14" t="n">
        <f aca="false">+593969936707</f>
        <v>593969936707</v>
      </c>
      <c r="H1155" s="14" t="s">
        <v>2938</v>
      </c>
      <c r="I1155" s="14"/>
      <c r="J1155" s="1"/>
      <c r="K1155" s="1" t="s">
        <v>2939</v>
      </c>
      <c r="L1155" s="1"/>
      <c r="M1155" s="1"/>
      <c r="N1155" s="1"/>
      <c r="O1155" s="1"/>
      <c r="P1155" s="6" t="s">
        <v>133</v>
      </c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customFormat="false" ht="21.75" hidden="false" customHeight="true" outlineLevel="0" collapsed="false">
      <c r="A1156" s="4" t="n">
        <v>43486</v>
      </c>
      <c r="B1156" s="18" t="s">
        <v>86</v>
      </c>
      <c r="C1156" s="14" t="s">
        <v>15</v>
      </c>
      <c r="D1156" s="14" t="s">
        <v>16</v>
      </c>
      <c r="E1156" s="14" t="s">
        <v>17</v>
      </c>
      <c r="F1156" s="14" t="s">
        <v>2940</v>
      </c>
      <c r="G1156" s="14" t="n">
        <f aca="false">+593983691070</f>
        <v>593983691070</v>
      </c>
      <c r="H1156" s="14" t="s">
        <v>2941</v>
      </c>
      <c r="I1156" s="14"/>
      <c r="J1156" s="1"/>
      <c r="K1156" s="1" t="s">
        <v>21</v>
      </c>
      <c r="L1156" s="1"/>
      <c r="M1156" s="1"/>
      <c r="N1156" s="1"/>
      <c r="O1156" s="1"/>
      <c r="P1156" s="6" t="s">
        <v>21</v>
      </c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customFormat="false" ht="21.75" hidden="false" customHeight="true" outlineLevel="0" collapsed="false">
      <c r="A1157" s="4" t="n">
        <v>43486</v>
      </c>
      <c r="B1157" s="18" t="s">
        <v>86</v>
      </c>
      <c r="C1157" s="14" t="s">
        <v>15</v>
      </c>
      <c r="D1157" s="14" t="s">
        <v>16</v>
      </c>
      <c r="E1157" s="14" t="s">
        <v>17</v>
      </c>
      <c r="F1157" s="14" t="s">
        <v>2942</v>
      </c>
      <c r="G1157" s="14" t="n">
        <f aca="false">+5930967387204</f>
        <v>5930967387204</v>
      </c>
      <c r="H1157" s="14" t="s">
        <v>2943</v>
      </c>
      <c r="I1157" s="14"/>
      <c r="J1157" s="1"/>
      <c r="K1157" s="1" t="s">
        <v>2944</v>
      </c>
      <c r="L1157" s="1" t="s">
        <v>2945</v>
      </c>
      <c r="M1157" s="1"/>
      <c r="N1157" s="1"/>
      <c r="O1157" s="1"/>
      <c r="P1157" s="6" t="s">
        <v>133</v>
      </c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customFormat="false" ht="21.75" hidden="false" customHeight="true" outlineLevel="0" collapsed="false">
      <c r="A1158" s="4" t="n">
        <v>43486</v>
      </c>
      <c r="B1158" s="18" t="s">
        <v>86</v>
      </c>
      <c r="C1158" s="14" t="s">
        <v>15</v>
      </c>
      <c r="D1158" s="14" t="s">
        <v>16</v>
      </c>
      <c r="E1158" s="14" t="s">
        <v>17</v>
      </c>
      <c r="F1158" s="19" t="s">
        <v>2946</v>
      </c>
      <c r="G1158" s="18" t="n">
        <v>967617088</v>
      </c>
      <c r="H1158" s="18" t="s">
        <v>2947</v>
      </c>
      <c r="I1158" s="18"/>
      <c r="J1158" s="1"/>
      <c r="K1158" s="1" t="s">
        <v>21</v>
      </c>
      <c r="L1158" s="1"/>
      <c r="M1158" s="1"/>
      <c r="N1158" s="1"/>
      <c r="O1158" s="1"/>
      <c r="P1158" s="6" t="s">
        <v>21</v>
      </c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customFormat="false" ht="21.75" hidden="false" customHeight="true" outlineLevel="0" collapsed="false">
      <c r="A1159" s="4" t="n">
        <v>43486</v>
      </c>
      <c r="B1159" s="18" t="s">
        <v>86</v>
      </c>
      <c r="C1159" s="14" t="s">
        <v>15</v>
      </c>
      <c r="D1159" s="14" t="s">
        <v>16</v>
      </c>
      <c r="E1159" s="14" t="s">
        <v>17</v>
      </c>
      <c r="F1159" s="19" t="s">
        <v>2343</v>
      </c>
      <c r="G1159" s="18" t="n">
        <v>994686363</v>
      </c>
      <c r="H1159" s="18" t="s">
        <v>2344</v>
      </c>
      <c r="I1159" s="18"/>
      <c r="J1159" s="1"/>
      <c r="K1159" s="1" t="s">
        <v>2948</v>
      </c>
      <c r="L1159" s="1"/>
      <c r="M1159" s="1"/>
      <c r="N1159" s="1"/>
      <c r="O1159" s="1"/>
      <c r="P1159" s="6" t="s">
        <v>133</v>
      </c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customFormat="false" ht="21.75" hidden="false" customHeight="true" outlineLevel="0" collapsed="false">
      <c r="A1160" s="4" t="n">
        <v>43486</v>
      </c>
      <c r="B1160" s="18" t="s">
        <v>86</v>
      </c>
      <c r="C1160" s="14" t="s">
        <v>15</v>
      </c>
      <c r="D1160" s="14" t="s">
        <v>16</v>
      </c>
      <c r="E1160" s="14" t="s">
        <v>17</v>
      </c>
      <c r="F1160" s="19" t="s">
        <v>2949</v>
      </c>
      <c r="G1160" s="18" t="n">
        <v>960090674</v>
      </c>
      <c r="H1160" s="18" t="s">
        <v>2950</v>
      </c>
      <c r="I1160" s="18"/>
      <c r="J1160" s="1"/>
      <c r="K1160" s="1" t="s">
        <v>21</v>
      </c>
      <c r="L1160" s="1"/>
      <c r="M1160" s="1"/>
      <c r="N1160" s="1"/>
      <c r="O1160" s="1"/>
      <c r="P1160" s="6" t="s">
        <v>21</v>
      </c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customFormat="false" ht="21.75" hidden="false" customHeight="true" outlineLevel="0" collapsed="false">
      <c r="A1161" s="4" t="n">
        <v>43487</v>
      </c>
      <c r="B1161" s="18" t="s">
        <v>14</v>
      </c>
      <c r="C1161" s="14" t="s">
        <v>15</v>
      </c>
      <c r="D1161" s="14" t="s">
        <v>16</v>
      </c>
      <c r="E1161" s="18" t="s">
        <v>17</v>
      </c>
      <c r="F1161" s="14" t="s">
        <v>2951</v>
      </c>
      <c r="G1161" s="14" t="n">
        <f aca="false">+593999150414</f>
        <v>593999150414</v>
      </c>
      <c r="H1161" s="14" t="s">
        <v>2952</v>
      </c>
      <c r="I1161" s="14"/>
      <c r="J1161" s="1"/>
      <c r="K1161" s="1" t="s">
        <v>2953</v>
      </c>
      <c r="L1161" s="1"/>
      <c r="M1161" s="1"/>
      <c r="N1161" s="1"/>
      <c r="O1161" s="1"/>
      <c r="P1161" s="6" t="s">
        <v>133</v>
      </c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customFormat="false" ht="21.75" hidden="false" customHeight="true" outlineLevel="0" collapsed="false">
      <c r="A1162" s="4" t="n">
        <v>43487</v>
      </c>
      <c r="B1162" s="18" t="s">
        <v>14</v>
      </c>
      <c r="C1162" s="14" t="s">
        <v>15</v>
      </c>
      <c r="D1162" s="14" t="s">
        <v>16</v>
      </c>
      <c r="E1162" s="18" t="s">
        <v>17</v>
      </c>
      <c r="F1162" s="14" t="s">
        <v>2954</v>
      </c>
      <c r="G1162" s="14" t="n">
        <f aca="false">+593980828272</f>
        <v>593980828272</v>
      </c>
      <c r="H1162" s="14" t="s">
        <v>2955</v>
      </c>
      <c r="I1162" s="14"/>
      <c r="J1162" s="1"/>
      <c r="K1162" s="1" t="s">
        <v>2956</v>
      </c>
      <c r="L1162" s="1"/>
      <c r="M1162" s="1"/>
      <c r="N1162" s="1"/>
      <c r="O1162" s="1"/>
      <c r="P1162" s="6" t="s">
        <v>133</v>
      </c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customFormat="false" ht="21.75" hidden="false" customHeight="true" outlineLevel="0" collapsed="false">
      <c r="A1163" s="30" t="n">
        <v>43487</v>
      </c>
      <c r="B1163" s="31" t="s">
        <v>14</v>
      </c>
      <c r="C1163" s="31" t="s">
        <v>26</v>
      </c>
      <c r="D1163" s="31" t="s">
        <v>16</v>
      </c>
      <c r="E1163" s="31" t="s">
        <v>17</v>
      </c>
      <c r="F1163" s="31" t="s">
        <v>2954</v>
      </c>
      <c r="G1163" s="31" t="n">
        <v>980828272</v>
      </c>
      <c r="H1163" s="31" t="s">
        <v>2955</v>
      </c>
      <c r="I1163" s="18"/>
      <c r="J1163" s="1"/>
      <c r="K1163" s="1" t="s">
        <v>2957</v>
      </c>
      <c r="L1163" s="1"/>
      <c r="M1163" s="1"/>
      <c r="N1163" s="1"/>
      <c r="O1163" s="1"/>
      <c r="P1163" s="6" t="s">
        <v>31</v>
      </c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customFormat="false" ht="21.75" hidden="false" customHeight="true" outlineLevel="0" collapsed="false">
      <c r="A1164" s="4" t="n">
        <v>43487</v>
      </c>
      <c r="B1164" s="8" t="s">
        <v>42</v>
      </c>
      <c r="C1164" s="14" t="s">
        <v>15</v>
      </c>
      <c r="D1164" s="14" t="s">
        <v>43</v>
      </c>
      <c r="E1164" s="14" t="s">
        <v>109</v>
      </c>
      <c r="F1164" s="14" t="s">
        <v>2958</v>
      </c>
      <c r="G1164" s="14" t="n">
        <f aca="false">+593983863060</f>
        <v>593983863060</v>
      </c>
      <c r="H1164" s="14" t="s">
        <v>2959</v>
      </c>
      <c r="I1164" s="14"/>
      <c r="J1164" s="1"/>
      <c r="K1164" s="1" t="s">
        <v>2960</v>
      </c>
      <c r="L1164" s="1"/>
      <c r="M1164" s="1"/>
      <c r="N1164" s="1"/>
      <c r="O1164" s="1"/>
      <c r="P1164" s="6" t="s">
        <v>133</v>
      </c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customFormat="false" ht="21.75" hidden="false" customHeight="true" outlineLevel="0" collapsed="false">
      <c r="A1165" s="4" t="n">
        <v>43487</v>
      </c>
      <c r="B1165" s="8" t="s">
        <v>42</v>
      </c>
      <c r="C1165" s="14" t="s">
        <v>15</v>
      </c>
      <c r="D1165" s="14" t="s">
        <v>43</v>
      </c>
      <c r="E1165" s="18" t="s">
        <v>109</v>
      </c>
      <c r="F1165" s="14" t="s">
        <v>2961</v>
      </c>
      <c r="G1165" s="14" t="n">
        <f aca="false">+593989566035</f>
        <v>593989566035</v>
      </c>
      <c r="H1165" s="14" t="s">
        <v>2962</v>
      </c>
      <c r="I1165" s="14"/>
      <c r="J1165" s="1"/>
      <c r="K1165" s="1" t="s">
        <v>2963</v>
      </c>
      <c r="L1165" s="1"/>
      <c r="M1165" s="1"/>
      <c r="N1165" s="1"/>
      <c r="O1165" s="1"/>
      <c r="P1165" s="6" t="s">
        <v>31</v>
      </c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customFormat="false" ht="21.75" hidden="false" customHeight="true" outlineLevel="0" collapsed="false">
      <c r="A1166" s="4" t="n">
        <v>43487</v>
      </c>
      <c r="B1166" s="14" t="s">
        <v>323</v>
      </c>
      <c r="C1166" s="14" t="s">
        <v>26</v>
      </c>
      <c r="D1166" s="14" t="s">
        <v>43</v>
      </c>
      <c r="E1166" s="18" t="s">
        <v>109</v>
      </c>
      <c r="F1166" s="14" t="s">
        <v>2964</v>
      </c>
      <c r="G1166" s="14" t="n">
        <f aca="false">+593999056326</f>
        <v>593999056326</v>
      </c>
      <c r="H1166" s="14" t="s">
        <v>2965</v>
      </c>
      <c r="I1166" s="14"/>
      <c r="J1166" s="1"/>
      <c r="K1166" s="1" t="s">
        <v>2966</v>
      </c>
      <c r="L1166" s="1"/>
      <c r="M1166" s="1"/>
      <c r="N1166" s="1"/>
      <c r="O1166" s="1"/>
      <c r="P1166" s="6" t="s">
        <v>31</v>
      </c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customFormat="false" ht="21.75" hidden="false" customHeight="true" outlineLevel="0" collapsed="false">
      <c r="A1167" s="4" t="n">
        <v>43487</v>
      </c>
      <c r="B1167" s="14" t="s">
        <v>323</v>
      </c>
      <c r="C1167" s="14" t="s">
        <v>15</v>
      </c>
      <c r="D1167" s="14" t="s">
        <v>43</v>
      </c>
      <c r="E1167" s="18" t="s">
        <v>109</v>
      </c>
      <c r="F1167" s="14" t="s">
        <v>2967</v>
      </c>
      <c r="G1167" s="14" t="n">
        <f aca="false">+593982660948</f>
        <v>593982660948</v>
      </c>
      <c r="H1167" s="14" t="s">
        <v>2968</v>
      </c>
      <c r="I1167" s="14"/>
      <c r="J1167" s="1"/>
      <c r="K1167" s="1" t="s">
        <v>58</v>
      </c>
      <c r="L1167" s="1"/>
      <c r="M1167" s="1"/>
      <c r="N1167" s="1"/>
      <c r="O1167" s="1"/>
      <c r="P1167" s="1" t="s">
        <v>58</v>
      </c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customFormat="false" ht="21.75" hidden="false" customHeight="true" outlineLevel="0" collapsed="false">
      <c r="A1168" s="4" t="n">
        <v>43487</v>
      </c>
      <c r="B1168" s="14" t="s">
        <v>48</v>
      </c>
      <c r="C1168" s="14" t="s">
        <v>15</v>
      </c>
      <c r="D1168" s="14" t="s">
        <v>43</v>
      </c>
      <c r="E1168" s="18" t="s">
        <v>883</v>
      </c>
      <c r="F1168" s="14" t="s">
        <v>2969</v>
      </c>
      <c r="G1168" s="14" t="n">
        <f aca="false">+593996650581</f>
        <v>593996650581</v>
      </c>
      <c r="H1168" s="14" t="s">
        <v>2970</v>
      </c>
      <c r="I1168" s="14"/>
      <c r="J1168" s="1"/>
      <c r="K1168" s="1" t="s">
        <v>2971</v>
      </c>
      <c r="L1168" s="1"/>
      <c r="M1168" s="1"/>
      <c r="N1168" s="1"/>
      <c r="O1168" s="1"/>
      <c r="P1168" s="6" t="s">
        <v>58</v>
      </c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customFormat="false" ht="21.75" hidden="false" customHeight="true" outlineLevel="0" collapsed="false">
      <c r="A1169" s="4" t="n">
        <v>43487</v>
      </c>
      <c r="B1169" s="18" t="s">
        <v>48</v>
      </c>
      <c r="C1169" s="14" t="s">
        <v>15</v>
      </c>
      <c r="D1169" s="14" t="s">
        <v>43</v>
      </c>
      <c r="E1169" s="14" t="s">
        <v>109</v>
      </c>
      <c r="F1169" s="14" t="s">
        <v>2972</v>
      </c>
      <c r="G1169" s="14" t="n">
        <f aca="false">+5930997695793</f>
        <v>5930997695793</v>
      </c>
      <c r="H1169" s="14" t="s">
        <v>2973</v>
      </c>
      <c r="I1169" s="14"/>
      <c r="J1169" s="1"/>
      <c r="K1169" s="1" t="s">
        <v>58</v>
      </c>
      <c r="L1169" s="1"/>
      <c r="M1169" s="1"/>
      <c r="N1169" s="1"/>
      <c r="O1169" s="1"/>
      <c r="P1169" s="6" t="s">
        <v>58</v>
      </c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customFormat="false" ht="21.75" hidden="false" customHeight="true" outlineLevel="0" collapsed="false">
      <c r="A1170" s="4" t="n">
        <v>43487</v>
      </c>
      <c r="B1170" s="18" t="s">
        <v>48</v>
      </c>
      <c r="C1170" s="14" t="s">
        <v>26</v>
      </c>
      <c r="D1170" s="14" t="s">
        <v>43</v>
      </c>
      <c r="E1170" s="14" t="s">
        <v>109</v>
      </c>
      <c r="F1170" s="14" t="s">
        <v>2974</v>
      </c>
      <c r="G1170" s="14" t="n">
        <f aca="false">+593984881448</f>
        <v>593984881448</v>
      </c>
      <c r="H1170" s="14" t="s">
        <v>2975</v>
      </c>
      <c r="I1170" s="14"/>
      <c r="J1170" s="1"/>
      <c r="K1170" s="1" t="s">
        <v>2976</v>
      </c>
      <c r="L1170" s="1"/>
      <c r="M1170" s="1"/>
      <c r="N1170" s="1"/>
      <c r="O1170" s="1"/>
      <c r="P1170" s="6" t="s">
        <v>58</v>
      </c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customFormat="false" ht="21.75" hidden="false" customHeight="true" outlineLevel="0" collapsed="false">
      <c r="A1171" s="4" t="n">
        <v>43487</v>
      </c>
      <c r="B1171" s="14" t="s">
        <v>48</v>
      </c>
      <c r="C1171" s="14" t="s">
        <v>15</v>
      </c>
      <c r="D1171" s="14" t="s">
        <v>43</v>
      </c>
      <c r="E1171" s="18" t="s">
        <v>109</v>
      </c>
      <c r="F1171" s="14" t="s">
        <v>2977</v>
      </c>
      <c r="G1171" s="14" t="n">
        <f aca="false">+593999166992</f>
        <v>593999166992</v>
      </c>
      <c r="H1171" s="14" t="s">
        <v>2978</v>
      </c>
      <c r="I1171" s="14"/>
      <c r="J1171" s="1"/>
      <c r="K1171" s="1" t="s">
        <v>58</v>
      </c>
      <c r="L1171" s="1"/>
      <c r="M1171" s="1"/>
      <c r="N1171" s="1"/>
      <c r="O1171" s="1"/>
      <c r="P1171" s="1" t="s">
        <v>58</v>
      </c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customFormat="false" ht="21.75" hidden="false" customHeight="true" outlineLevel="0" collapsed="false">
      <c r="A1172" s="4" t="n">
        <v>43487</v>
      </c>
      <c r="B1172" s="18" t="s">
        <v>48</v>
      </c>
      <c r="C1172" s="18" t="s">
        <v>26</v>
      </c>
      <c r="D1172" s="18" t="s">
        <v>43</v>
      </c>
      <c r="E1172" s="18" t="s">
        <v>109</v>
      </c>
      <c r="F1172" s="19" t="s">
        <v>2979</v>
      </c>
      <c r="G1172" s="18" t="n">
        <v>961194130</v>
      </c>
      <c r="H1172" s="18" t="s">
        <v>2980</v>
      </c>
      <c r="I1172" s="18"/>
      <c r="J1172" s="1"/>
      <c r="K1172" s="1" t="s">
        <v>21</v>
      </c>
      <c r="L1172" s="1"/>
      <c r="M1172" s="1"/>
      <c r="N1172" s="1"/>
      <c r="O1172" s="1"/>
      <c r="P1172" s="1" t="s">
        <v>21</v>
      </c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customFormat="false" ht="21.75" hidden="false" customHeight="true" outlineLevel="0" collapsed="false">
      <c r="A1173" s="4" t="n">
        <v>43487</v>
      </c>
      <c r="B1173" s="18" t="s">
        <v>48</v>
      </c>
      <c r="C1173" s="18" t="s">
        <v>26</v>
      </c>
      <c r="D1173" s="18" t="s">
        <v>43</v>
      </c>
      <c r="E1173" s="18" t="s">
        <v>109</v>
      </c>
      <c r="F1173" s="19" t="s">
        <v>2981</v>
      </c>
      <c r="G1173" s="18" t="n">
        <v>939052678</v>
      </c>
      <c r="H1173" s="18" t="s">
        <v>2982</v>
      </c>
      <c r="I1173" s="18"/>
      <c r="J1173" s="1"/>
      <c r="K1173" s="1" t="s">
        <v>1864</v>
      </c>
      <c r="L1173" s="1"/>
      <c r="M1173" s="1"/>
      <c r="N1173" s="1"/>
      <c r="O1173" s="1"/>
      <c r="P1173" s="6" t="s">
        <v>58</v>
      </c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customFormat="false" ht="21.75" hidden="false" customHeight="true" outlineLevel="0" collapsed="false">
      <c r="A1174" s="4" t="n">
        <v>43487</v>
      </c>
      <c r="B1174" s="18" t="s">
        <v>48</v>
      </c>
      <c r="C1174" s="18" t="s">
        <v>26</v>
      </c>
      <c r="D1174" s="18" t="s">
        <v>43</v>
      </c>
      <c r="E1174" s="18" t="s">
        <v>109</v>
      </c>
      <c r="F1174" s="19" t="s">
        <v>2983</v>
      </c>
      <c r="G1174" s="18" t="n">
        <v>968173535</v>
      </c>
      <c r="H1174" s="18" t="s">
        <v>2984</v>
      </c>
      <c r="I1174" s="18"/>
      <c r="J1174" s="1"/>
      <c r="K1174" s="1" t="s">
        <v>21</v>
      </c>
      <c r="L1174" s="1"/>
      <c r="M1174" s="1"/>
      <c r="N1174" s="1"/>
      <c r="O1174" s="1"/>
      <c r="P1174" s="1" t="s">
        <v>21</v>
      </c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customFormat="false" ht="21.75" hidden="false" customHeight="true" outlineLevel="0" collapsed="false">
      <c r="A1175" s="4" t="n">
        <v>43487</v>
      </c>
      <c r="B1175" s="18" t="s">
        <v>48</v>
      </c>
      <c r="C1175" s="18" t="s">
        <v>26</v>
      </c>
      <c r="D1175" s="18" t="s">
        <v>43</v>
      </c>
      <c r="E1175" s="18" t="s">
        <v>109</v>
      </c>
      <c r="F1175" s="19" t="s">
        <v>2985</v>
      </c>
      <c r="G1175" s="18" t="n">
        <v>998644109</v>
      </c>
      <c r="H1175" s="18" t="s">
        <v>2986</v>
      </c>
      <c r="I1175" s="18"/>
      <c r="J1175" s="1"/>
      <c r="K1175" s="1" t="s">
        <v>21</v>
      </c>
      <c r="L1175" s="1"/>
      <c r="M1175" s="1"/>
      <c r="N1175" s="1"/>
      <c r="O1175" s="1"/>
      <c r="P1175" s="1" t="s">
        <v>21</v>
      </c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customFormat="false" ht="21.75" hidden="false" customHeight="true" outlineLevel="0" collapsed="false">
      <c r="A1176" s="4" t="n">
        <v>43487</v>
      </c>
      <c r="B1176" s="18" t="s">
        <v>48</v>
      </c>
      <c r="C1176" s="18" t="s">
        <v>26</v>
      </c>
      <c r="D1176" s="18" t="s">
        <v>43</v>
      </c>
      <c r="E1176" s="18" t="s">
        <v>109</v>
      </c>
      <c r="F1176" s="19" t="s">
        <v>1221</v>
      </c>
      <c r="G1176" s="18" t="n">
        <v>987987980</v>
      </c>
      <c r="H1176" s="18" t="s">
        <v>2987</v>
      </c>
      <c r="I1176" s="18"/>
      <c r="J1176" s="1"/>
      <c r="K1176" s="1" t="s">
        <v>21</v>
      </c>
      <c r="L1176" s="1"/>
      <c r="M1176" s="1"/>
      <c r="N1176" s="1"/>
      <c r="O1176" s="1"/>
      <c r="P1176" s="1" t="s">
        <v>21</v>
      </c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customFormat="false" ht="21.75" hidden="false" customHeight="true" outlineLevel="0" collapsed="false">
      <c r="A1177" s="4" t="n">
        <v>43487</v>
      </c>
      <c r="B1177" s="14" t="s">
        <v>1114</v>
      </c>
      <c r="C1177" s="14" t="s">
        <v>15</v>
      </c>
      <c r="D1177" s="14" t="s">
        <v>43</v>
      </c>
      <c r="E1177" s="18" t="s">
        <v>883</v>
      </c>
      <c r="F1177" s="14" t="s">
        <v>2988</v>
      </c>
      <c r="G1177" s="14" t="n">
        <f aca="false">+593959679243</f>
        <v>593959679243</v>
      </c>
      <c r="H1177" s="14" t="s">
        <v>2989</v>
      </c>
      <c r="I1177" s="14"/>
      <c r="J1177" s="1"/>
      <c r="K1177" s="1" t="s">
        <v>2990</v>
      </c>
      <c r="L1177" s="1"/>
      <c r="M1177" s="1"/>
      <c r="N1177" s="1"/>
      <c r="O1177" s="1"/>
      <c r="P1177" s="6" t="s">
        <v>133</v>
      </c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customFormat="false" ht="21.75" hidden="false" customHeight="true" outlineLevel="0" collapsed="false">
      <c r="A1178" s="4" t="n">
        <v>43487</v>
      </c>
      <c r="B1178" s="18" t="s">
        <v>1114</v>
      </c>
      <c r="C1178" s="18" t="s">
        <v>26</v>
      </c>
      <c r="D1178" s="18" t="s">
        <v>43</v>
      </c>
      <c r="E1178" s="18" t="s">
        <v>109</v>
      </c>
      <c r="F1178" s="19" t="s">
        <v>2991</v>
      </c>
      <c r="G1178" s="18" t="n">
        <v>983484505</v>
      </c>
      <c r="H1178" s="18"/>
      <c r="I1178" s="18"/>
      <c r="J1178" s="1"/>
      <c r="K1178" s="1" t="s">
        <v>2714</v>
      </c>
      <c r="L1178" s="1"/>
      <c r="M1178" s="1"/>
      <c r="N1178" s="1"/>
      <c r="O1178" s="1"/>
      <c r="P1178" s="1" t="s">
        <v>31</v>
      </c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customFormat="false" ht="21.75" hidden="false" customHeight="true" outlineLevel="0" collapsed="false">
      <c r="A1179" s="4" t="n">
        <v>43487</v>
      </c>
      <c r="B1179" s="18" t="s">
        <v>352</v>
      </c>
      <c r="C1179" s="14" t="s">
        <v>15</v>
      </c>
      <c r="D1179" s="14" t="s">
        <v>43</v>
      </c>
      <c r="E1179" s="14" t="s">
        <v>109</v>
      </c>
      <c r="F1179" s="19" t="s">
        <v>2992</v>
      </c>
      <c r="G1179" s="18" t="n">
        <v>991259926</v>
      </c>
      <c r="H1179" s="18" t="s">
        <v>2993</v>
      </c>
      <c r="I1179" s="18"/>
      <c r="J1179" s="1"/>
      <c r="K1179" s="1" t="s">
        <v>2994</v>
      </c>
      <c r="L1179" s="1"/>
      <c r="M1179" s="1"/>
      <c r="N1179" s="1"/>
      <c r="O1179" s="1"/>
      <c r="P1179" s="6" t="s">
        <v>751</v>
      </c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customFormat="false" ht="21.75" hidden="false" customHeight="true" outlineLevel="0" collapsed="false">
      <c r="A1180" s="4" t="n">
        <v>43487</v>
      </c>
      <c r="B1180" s="18" t="s">
        <v>352</v>
      </c>
      <c r="C1180" s="14" t="s">
        <v>15</v>
      </c>
      <c r="D1180" s="14" t="s">
        <v>43</v>
      </c>
      <c r="E1180" s="14" t="s">
        <v>109</v>
      </c>
      <c r="F1180" s="19" t="s">
        <v>2995</v>
      </c>
      <c r="G1180" s="18" t="n">
        <v>985876025</v>
      </c>
      <c r="H1180" s="18" t="s">
        <v>2996</v>
      </c>
      <c r="I1180" s="18"/>
      <c r="J1180" s="1"/>
      <c r="K1180" s="1" t="s">
        <v>21</v>
      </c>
      <c r="L1180" s="1"/>
      <c r="M1180" s="1"/>
      <c r="N1180" s="1"/>
      <c r="O1180" s="1"/>
      <c r="P1180" s="6" t="s">
        <v>21</v>
      </c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customFormat="false" ht="21.75" hidden="false" customHeight="true" outlineLevel="0" collapsed="false">
      <c r="A1181" s="4" t="n">
        <v>43487</v>
      </c>
      <c r="B1181" s="14" t="s">
        <v>352</v>
      </c>
      <c r="C1181" s="14" t="s">
        <v>15</v>
      </c>
      <c r="D1181" s="14" t="s">
        <v>43</v>
      </c>
      <c r="E1181" s="18" t="s">
        <v>109</v>
      </c>
      <c r="F1181" s="14" t="s">
        <v>2997</v>
      </c>
      <c r="G1181" s="14" t="n">
        <f aca="false">+593968880325</f>
        <v>593968880325</v>
      </c>
      <c r="H1181" s="14" t="s">
        <v>2998</v>
      </c>
      <c r="I1181" s="14"/>
      <c r="J1181" s="1"/>
      <c r="K1181" s="1" t="s">
        <v>58</v>
      </c>
      <c r="L1181" s="1"/>
      <c r="M1181" s="1"/>
      <c r="N1181" s="1"/>
      <c r="O1181" s="1"/>
      <c r="P1181" s="1" t="s">
        <v>58</v>
      </c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customFormat="false" ht="21.75" hidden="false" customHeight="true" outlineLevel="0" collapsed="false">
      <c r="A1182" s="4" t="n">
        <v>43487</v>
      </c>
      <c r="B1182" s="14" t="s">
        <v>178</v>
      </c>
      <c r="C1182" s="14" t="s">
        <v>15</v>
      </c>
      <c r="D1182" s="14" t="s">
        <v>43</v>
      </c>
      <c r="E1182" s="18" t="s">
        <v>883</v>
      </c>
      <c r="F1182" s="14" t="s">
        <v>2999</v>
      </c>
      <c r="G1182" s="14" t="n">
        <f aca="false">+593959846944</f>
        <v>593959846944</v>
      </c>
      <c r="H1182" s="14" t="s">
        <v>3000</v>
      </c>
      <c r="I1182" s="14"/>
      <c r="J1182" s="1"/>
      <c r="K1182" s="1" t="s">
        <v>21</v>
      </c>
      <c r="L1182" s="1"/>
      <c r="M1182" s="1"/>
      <c r="N1182" s="1"/>
      <c r="O1182" s="1"/>
      <c r="P1182" s="1" t="s">
        <v>21</v>
      </c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customFormat="false" ht="21.75" hidden="false" customHeight="true" outlineLevel="0" collapsed="false">
      <c r="A1183" s="4" t="n">
        <v>43487</v>
      </c>
      <c r="B1183" s="18" t="s">
        <v>81</v>
      </c>
      <c r="C1183" s="18" t="s">
        <v>26</v>
      </c>
      <c r="D1183" s="18" t="s">
        <v>43</v>
      </c>
      <c r="E1183" s="18" t="s">
        <v>109</v>
      </c>
      <c r="F1183" s="19" t="s">
        <v>3001</v>
      </c>
      <c r="G1183" s="18" t="n">
        <v>967256071</v>
      </c>
      <c r="H1183" s="18" t="s">
        <v>3002</v>
      </c>
      <c r="I1183" s="18"/>
      <c r="J1183" s="1"/>
      <c r="K1183" s="1" t="s">
        <v>21</v>
      </c>
      <c r="L1183" s="1"/>
      <c r="M1183" s="1"/>
      <c r="N1183" s="1"/>
      <c r="O1183" s="1"/>
      <c r="P1183" s="1" t="s">
        <v>21</v>
      </c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customFormat="false" ht="21.75" hidden="false" customHeight="true" outlineLevel="0" collapsed="false">
      <c r="A1184" s="4" t="n">
        <v>43487</v>
      </c>
      <c r="B1184" s="18" t="s">
        <v>86</v>
      </c>
      <c r="C1184" s="14" t="s">
        <v>15</v>
      </c>
      <c r="D1184" s="14" t="s">
        <v>16</v>
      </c>
      <c r="E1184" s="14" t="s">
        <v>17</v>
      </c>
      <c r="F1184" s="19" t="s">
        <v>3003</v>
      </c>
      <c r="G1184" s="19"/>
      <c r="H1184" s="18" t="s">
        <v>3004</v>
      </c>
      <c r="I1184" s="18"/>
      <c r="J1184" s="1"/>
      <c r="K1184" s="1" t="s">
        <v>3005</v>
      </c>
      <c r="L1184" s="1"/>
      <c r="M1184" s="1"/>
      <c r="N1184" s="1"/>
      <c r="O1184" s="1"/>
      <c r="P1184" s="6" t="s">
        <v>133</v>
      </c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customFormat="false" ht="21.75" hidden="false" customHeight="true" outlineLevel="0" collapsed="false">
      <c r="A1185" s="4" t="n">
        <v>43487</v>
      </c>
      <c r="B1185" s="18" t="s">
        <v>86</v>
      </c>
      <c r="C1185" s="14" t="s">
        <v>15</v>
      </c>
      <c r="D1185" s="14" t="s">
        <v>16</v>
      </c>
      <c r="E1185" s="18" t="s">
        <v>17</v>
      </c>
      <c r="F1185" s="14" t="s">
        <v>3006</v>
      </c>
      <c r="G1185" s="14" t="n">
        <f aca="false">+593980117961</f>
        <v>593980117961</v>
      </c>
      <c r="H1185" s="14" t="s">
        <v>3007</v>
      </c>
      <c r="I1185" s="14"/>
      <c r="J1185" s="1"/>
      <c r="K1185" s="1" t="s">
        <v>2953</v>
      </c>
      <c r="L1185" s="1"/>
      <c r="M1185" s="1"/>
      <c r="N1185" s="1"/>
      <c r="O1185" s="1"/>
      <c r="P1185" s="6" t="s">
        <v>133</v>
      </c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customFormat="false" ht="21.75" hidden="false" customHeight="true" outlineLevel="0" collapsed="false">
      <c r="A1186" s="4" t="n">
        <v>43488</v>
      </c>
      <c r="B1186" s="32" t="s">
        <v>14</v>
      </c>
      <c r="C1186" s="32" t="s">
        <v>15</v>
      </c>
      <c r="D1186" s="32" t="s">
        <v>16</v>
      </c>
      <c r="E1186" s="32" t="s">
        <v>17</v>
      </c>
      <c r="F1186" s="32" t="s">
        <v>3008</v>
      </c>
      <c r="G1186" s="32"/>
      <c r="H1186" s="32" t="s">
        <v>3009</v>
      </c>
      <c r="I1186" s="1"/>
      <c r="J1186" s="1"/>
      <c r="K1186" s="1" t="s">
        <v>3010</v>
      </c>
      <c r="L1186" s="1"/>
      <c r="M1186" s="1"/>
      <c r="N1186" s="1"/>
      <c r="O1186" s="1"/>
      <c r="P1186" s="6" t="s">
        <v>2756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customFormat="false" ht="21.75" hidden="false" customHeight="true" outlineLevel="0" collapsed="false">
      <c r="A1187" s="4" t="n">
        <v>43488</v>
      </c>
      <c r="B1187" s="32" t="s">
        <v>14</v>
      </c>
      <c r="C1187" s="32" t="s">
        <v>15</v>
      </c>
      <c r="D1187" s="32" t="s">
        <v>16</v>
      </c>
      <c r="E1187" s="32" t="s">
        <v>17</v>
      </c>
      <c r="F1187" s="33" t="s">
        <v>3011</v>
      </c>
      <c r="G1187" s="32" t="n">
        <v>5930958923818</v>
      </c>
      <c r="H1187" s="32" t="s">
        <v>3012</v>
      </c>
      <c r="I1187" s="1"/>
      <c r="J1187" s="1"/>
      <c r="K1187" s="1" t="s">
        <v>3013</v>
      </c>
      <c r="L1187" s="1"/>
      <c r="M1187" s="1"/>
      <c r="N1187" s="1"/>
      <c r="O1187" s="1"/>
      <c r="P1187" s="6" t="s">
        <v>133</v>
      </c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customFormat="false" ht="21.75" hidden="false" customHeight="true" outlineLevel="0" collapsed="false">
      <c r="A1188" s="4" t="n">
        <v>43488</v>
      </c>
      <c r="B1188" s="32" t="s">
        <v>14</v>
      </c>
      <c r="C1188" s="32" t="s">
        <v>15</v>
      </c>
      <c r="D1188" s="32" t="s">
        <v>16</v>
      </c>
      <c r="E1188" s="32" t="s">
        <v>17</v>
      </c>
      <c r="F1188" s="32" t="s">
        <v>3014</v>
      </c>
      <c r="G1188" s="32" t="n">
        <v>593984135282</v>
      </c>
      <c r="H1188" s="32" t="s">
        <v>3015</v>
      </c>
      <c r="I1188" s="1"/>
      <c r="J1188" s="1"/>
      <c r="K1188" s="1" t="s">
        <v>3016</v>
      </c>
      <c r="L1188" s="1"/>
      <c r="M1188" s="1"/>
      <c r="N1188" s="1"/>
      <c r="O1188" s="1"/>
      <c r="P1188" s="6" t="s">
        <v>294</v>
      </c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customFormat="false" ht="21.75" hidden="false" customHeight="true" outlineLevel="0" collapsed="false">
      <c r="A1189" s="4" t="n">
        <v>43488</v>
      </c>
      <c r="B1189" s="32" t="s">
        <v>14</v>
      </c>
      <c r="C1189" s="32" t="s">
        <v>15</v>
      </c>
      <c r="D1189" s="32" t="s">
        <v>16</v>
      </c>
      <c r="E1189" s="32" t="s">
        <v>17</v>
      </c>
      <c r="F1189" s="33" t="s">
        <v>3017</v>
      </c>
      <c r="G1189" s="32" t="n">
        <v>593997386784</v>
      </c>
      <c r="H1189" s="32" t="s">
        <v>3018</v>
      </c>
      <c r="I1189" s="1"/>
      <c r="J1189" s="1"/>
      <c r="K1189" s="1" t="s">
        <v>3019</v>
      </c>
      <c r="L1189" s="1"/>
      <c r="M1189" s="1"/>
      <c r="N1189" s="1"/>
      <c r="O1189" s="1"/>
      <c r="P1189" s="6" t="s">
        <v>751</v>
      </c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customFormat="false" ht="21.75" hidden="false" customHeight="true" outlineLevel="0" collapsed="false">
      <c r="A1190" s="4" t="n">
        <v>43488</v>
      </c>
      <c r="B1190" s="32" t="s">
        <v>14</v>
      </c>
      <c r="C1190" s="32" t="s">
        <v>15</v>
      </c>
      <c r="D1190" s="32" t="s">
        <v>16</v>
      </c>
      <c r="E1190" s="32" t="s">
        <v>17</v>
      </c>
      <c r="F1190" s="32" t="s">
        <v>3020</v>
      </c>
      <c r="G1190" s="32" t="n">
        <v>593992623907</v>
      </c>
      <c r="H1190" s="32" t="s">
        <v>3021</v>
      </c>
      <c r="I1190" s="1"/>
      <c r="J1190" s="1"/>
      <c r="K1190" s="1" t="s">
        <v>3022</v>
      </c>
      <c r="L1190" s="1"/>
      <c r="M1190" s="1"/>
      <c r="N1190" s="1"/>
      <c r="O1190" s="1"/>
      <c r="P1190" s="6" t="s">
        <v>21</v>
      </c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customFormat="false" ht="21.75" hidden="false" customHeight="true" outlineLevel="0" collapsed="false">
      <c r="A1191" s="4" t="n">
        <v>43488</v>
      </c>
      <c r="B1191" s="32" t="s">
        <v>14</v>
      </c>
      <c r="C1191" s="32" t="s">
        <v>15</v>
      </c>
      <c r="D1191" s="32" t="s">
        <v>16</v>
      </c>
      <c r="E1191" s="32" t="s">
        <v>17</v>
      </c>
      <c r="F1191" s="32" t="s">
        <v>3023</v>
      </c>
      <c r="G1191" s="32" t="n">
        <v>593991829655</v>
      </c>
      <c r="H1191" s="32" t="s">
        <v>3024</v>
      </c>
      <c r="I1191" s="1"/>
      <c r="J1191" s="1"/>
      <c r="K1191" s="1" t="s">
        <v>3022</v>
      </c>
      <c r="L1191" s="1"/>
      <c r="M1191" s="1"/>
      <c r="N1191" s="1"/>
      <c r="O1191" s="1"/>
      <c r="P1191" s="6" t="s">
        <v>21</v>
      </c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customFormat="false" ht="21.75" hidden="false" customHeight="true" outlineLevel="0" collapsed="false">
      <c r="A1192" s="4" t="n">
        <v>43488</v>
      </c>
      <c r="B1192" s="32" t="s">
        <v>14</v>
      </c>
      <c r="C1192" s="32" t="s">
        <v>15</v>
      </c>
      <c r="D1192" s="32" t="s">
        <v>16</v>
      </c>
      <c r="E1192" s="32" t="s">
        <v>17</v>
      </c>
      <c r="F1192" s="33" t="s">
        <v>3025</v>
      </c>
      <c r="G1192" s="32" t="n">
        <v>593988787509</v>
      </c>
      <c r="H1192" s="32" t="s">
        <v>3026</v>
      </c>
      <c r="I1192" s="1"/>
      <c r="J1192" s="1"/>
      <c r="K1192" s="1" t="s">
        <v>3027</v>
      </c>
      <c r="L1192" s="1"/>
      <c r="M1192" s="1"/>
      <c r="N1192" s="1"/>
      <c r="O1192" s="1"/>
      <c r="P1192" s="6" t="s">
        <v>133</v>
      </c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customFormat="false" ht="21.75" hidden="false" customHeight="true" outlineLevel="0" collapsed="false">
      <c r="A1193" s="4" t="n">
        <v>43488</v>
      </c>
      <c r="B1193" s="32" t="s">
        <v>14</v>
      </c>
      <c r="C1193" s="32" t="s">
        <v>15</v>
      </c>
      <c r="D1193" s="32" t="s">
        <v>16</v>
      </c>
      <c r="E1193" s="32" t="s">
        <v>17</v>
      </c>
      <c r="F1193" s="32" t="s">
        <v>3028</v>
      </c>
      <c r="G1193" s="32" t="n">
        <v>593939330520</v>
      </c>
      <c r="H1193" s="32" t="s">
        <v>3029</v>
      </c>
      <c r="I1193" s="1"/>
      <c r="J1193" s="1"/>
      <c r="K1193" s="1" t="s">
        <v>3030</v>
      </c>
      <c r="L1193" s="1"/>
      <c r="M1193" s="1"/>
      <c r="N1193" s="1"/>
      <c r="O1193" s="1"/>
      <c r="P1193" s="6" t="s">
        <v>21</v>
      </c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customFormat="false" ht="21.75" hidden="false" customHeight="true" outlineLevel="0" collapsed="false">
      <c r="A1194" s="4" t="n">
        <v>43488</v>
      </c>
      <c r="B1194" s="32" t="s">
        <v>14</v>
      </c>
      <c r="C1194" s="32" t="s">
        <v>26</v>
      </c>
      <c r="D1194" s="32" t="s">
        <v>16</v>
      </c>
      <c r="E1194" s="32" t="s">
        <v>17</v>
      </c>
      <c r="F1194" s="33" t="s">
        <v>3031</v>
      </c>
      <c r="G1194" s="32" t="n">
        <v>593981192457</v>
      </c>
      <c r="H1194" s="32" t="s">
        <v>3032</v>
      </c>
      <c r="I1194" s="1"/>
      <c r="J1194" s="1"/>
      <c r="K1194" s="1" t="s">
        <v>3033</v>
      </c>
      <c r="L1194" s="1"/>
      <c r="M1194" s="1"/>
      <c r="N1194" s="1"/>
      <c r="O1194" s="1"/>
      <c r="P1194" s="6" t="s">
        <v>133</v>
      </c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customFormat="false" ht="21.75" hidden="false" customHeight="true" outlineLevel="0" collapsed="false">
      <c r="A1195" s="4" t="n">
        <v>43488</v>
      </c>
      <c r="B1195" s="32" t="s">
        <v>14</v>
      </c>
      <c r="C1195" s="32" t="s">
        <v>26</v>
      </c>
      <c r="D1195" s="32" t="s">
        <v>16</v>
      </c>
      <c r="E1195" s="32" t="s">
        <v>17</v>
      </c>
      <c r="F1195" s="32" t="s">
        <v>3034</v>
      </c>
      <c r="G1195" s="32" t="n">
        <v>593986351645</v>
      </c>
      <c r="H1195" s="32" t="s">
        <v>3035</v>
      </c>
      <c r="I1195" s="1"/>
      <c r="J1195" s="1"/>
      <c r="K1195" s="1" t="s">
        <v>3036</v>
      </c>
      <c r="L1195" s="1"/>
      <c r="M1195" s="1"/>
      <c r="N1195" s="1"/>
      <c r="O1195" s="1"/>
      <c r="P1195" s="6" t="s">
        <v>133</v>
      </c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customFormat="false" ht="21.75" hidden="false" customHeight="true" outlineLevel="0" collapsed="false">
      <c r="A1196" s="4" t="n">
        <v>43488</v>
      </c>
      <c r="B1196" s="32" t="s">
        <v>14</v>
      </c>
      <c r="C1196" s="32" t="s">
        <v>26</v>
      </c>
      <c r="D1196" s="32" t="s">
        <v>16</v>
      </c>
      <c r="E1196" s="32" t="s">
        <v>17</v>
      </c>
      <c r="F1196" s="32" t="s">
        <v>3037</v>
      </c>
      <c r="G1196" s="32" t="n">
        <v>5930987820790</v>
      </c>
      <c r="H1196" s="32" t="s">
        <v>3038</v>
      </c>
      <c r="I1196" s="1"/>
      <c r="J1196" s="1"/>
      <c r="K1196" s="1" t="s">
        <v>3030</v>
      </c>
      <c r="L1196" s="1"/>
      <c r="M1196" s="1"/>
      <c r="N1196" s="1"/>
      <c r="O1196" s="1"/>
      <c r="P1196" s="6" t="s">
        <v>21</v>
      </c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customFormat="false" ht="21.75" hidden="false" customHeight="true" outlineLevel="0" collapsed="false">
      <c r="A1197" s="4" t="n">
        <v>43488</v>
      </c>
      <c r="B1197" s="32" t="s">
        <v>14</v>
      </c>
      <c r="C1197" s="32" t="s">
        <v>15</v>
      </c>
      <c r="D1197" s="32" t="s">
        <v>16</v>
      </c>
      <c r="E1197" s="32" t="s">
        <v>17</v>
      </c>
      <c r="F1197" s="32" t="s">
        <v>3008</v>
      </c>
      <c r="G1197" s="32" t="n">
        <v>986457484</v>
      </c>
      <c r="H1197" s="32" t="s">
        <v>3039</v>
      </c>
      <c r="I1197" s="1"/>
      <c r="J1197" s="1"/>
      <c r="K1197" s="1" t="s">
        <v>21</v>
      </c>
      <c r="L1197" s="1"/>
      <c r="M1197" s="1"/>
      <c r="N1197" s="1"/>
      <c r="O1197" s="1"/>
      <c r="P1197" s="6" t="s">
        <v>21</v>
      </c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customFormat="false" ht="21.75" hidden="false" customHeight="true" outlineLevel="0" collapsed="false">
      <c r="A1198" s="4" t="n">
        <v>43488</v>
      </c>
      <c r="B1198" s="32" t="s">
        <v>14</v>
      </c>
      <c r="C1198" s="32" t="s">
        <v>15</v>
      </c>
      <c r="D1198" s="32" t="s">
        <v>16</v>
      </c>
      <c r="E1198" s="32" t="s">
        <v>17</v>
      </c>
      <c r="F1198" s="32" t="s">
        <v>3040</v>
      </c>
      <c r="G1198" s="32" t="n">
        <v>986142530</v>
      </c>
      <c r="H1198" s="32" t="s">
        <v>3041</v>
      </c>
      <c r="I1198" s="1"/>
      <c r="J1198" s="1"/>
      <c r="K1198" s="1" t="s">
        <v>21</v>
      </c>
      <c r="L1198" s="1"/>
      <c r="M1198" s="1"/>
      <c r="N1198" s="1"/>
      <c r="O1198" s="1"/>
      <c r="P1198" s="6" t="s">
        <v>21</v>
      </c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customFormat="false" ht="21.75" hidden="false" customHeight="true" outlineLevel="0" collapsed="false">
      <c r="A1199" s="4" t="n">
        <v>43488</v>
      </c>
      <c r="B1199" s="8" t="s">
        <v>42</v>
      </c>
      <c r="C1199" s="32" t="s">
        <v>15</v>
      </c>
      <c r="D1199" s="32" t="s">
        <v>43</v>
      </c>
      <c r="E1199" s="32" t="s">
        <v>44</v>
      </c>
      <c r="F1199" s="32" t="s">
        <v>3042</v>
      </c>
      <c r="G1199" s="32" t="n">
        <v>593076002266</v>
      </c>
      <c r="H1199" s="32" t="s">
        <v>3043</v>
      </c>
      <c r="I1199" s="34"/>
      <c r="J1199" s="1"/>
      <c r="K1199" s="1" t="s">
        <v>362</v>
      </c>
      <c r="L1199" s="1"/>
      <c r="M1199" s="1"/>
      <c r="N1199" s="1"/>
      <c r="O1199" s="1"/>
      <c r="P1199" s="6" t="s">
        <v>133</v>
      </c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customFormat="false" ht="21.75" hidden="false" customHeight="true" outlineLevel="0" collapsed="false">
      <c r="A1200" s="4" t="n">
        <v>43488</v>
      </c>
      <c r="B1200" s="8" t="s">
        <v>42</v>
      </c>
      <c r="C1200" s="32" t="s">
        <v>15</v>
      </c>
      <c r="D1200" s="32" t="s">
        <v>43</v>
      </c>
      <c r="E1200" s="32" t="s">
        <v>44</v>
      </c>
      <c r="F1200" s="32" t="s">
        <v>2665</v>
      </c>
      <c r="G1200" s="32" t="n">
        <v>593968185463</v>
      </c>
      <c r="H1200" s="32" t="s">
        <v>2666</v>
      </c>
      <c r="I1200" s="34"/>
      <c r="J1200" s="1"/>
      <c r="K1200" s="1" t="s">
        <v>21</v>
      </c>
      <c r="L1200" s="1"/>
      <c r="M1200" s="1"/>
      <c r="N1200" s="1"/>
      <c r="O1200" s="1"/>
      <c r="P1200" s="6" t="s">
        <v>21</v>
      </c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customFormat="false" ht="21.75" hidden="false" customHeight="true" outlineLevel="0" collapsed="false">
      <c r="A1201" s="4" t="n">
        <v>43488</v>
      </c>
      <c r="B1201" s="8" t="s">
        <v>42</v>
      </c>
      <c r="C1201" s="32" t="s">
        <v>15</v>
      </c>
      <c r="D1201" s="32" t="s">
        <v>43</v>
      </c>
      <c r="E1201" s="32" t="s">
        <v>44</v>
      </c>
      <c r="F1201" s="32" t="s">
        <v>3044</v>
      </c>
      <c r="G1201" s="32" t="n">
        <v>593989619866</v>
      </c>
      <c r="H1201" s="32" t="s">
        <v>3045</v>
      </c>
      <c r="I1201" s="34"/>
      <c r="J1201" s="1"/>
      <c r="K1201" s="1" t="s">
        <v>428</v>
      </c>
      <c r="L1201" s="1"/>
      <c r="M1201" s="1"/>
      <c r="N1201" s="1"/>
      <c r="O1201" s="1"/>
      <c r="P1201" s="6" t="s">
        <v>31</v>
      </c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customFormat="false" ht="21.75" hidden="false" customHeight="true" outlineLevel="0" collapsed="false">
      <c r="A1202" s="4" t="n">
        <v>43488</v>
      </c>
      <c r="B1202" s="8" t="s">
        <v>42</v>
      </c>
      <c r="C1202" s="32" t="s">
        <v>15</v>
      </c>
      <c r="D1202" s="32" t="s">
        <v>43</v>
      </c>
      <c r="E1202" s="32" t="s">
        <v>44</v>
      </c>
      <c r="F1202" s="32" t="s">
        <v>3046</v>
      </c>
      <c r="G1202" s="32" t="n">
        <v>985104353</v>
      </c>
      <c r="H1202" s="32" t="s">
        <v>3047</v>
      </c>
      <c r="I1202" s="1"/>
      <c r="J1202" s="1"/>
      <c r="K1202" s="1" t="s">
        <v>3048</v>
      </c>
      <c r="L1202" s="1"/>
      <c r="M1202" s="1"/>
      <c r="N1202" s="1"/>
      <c r="O1202" s="1"/>
      <c r="P1202" s="6" t="s">
        <v>751</v>
      </c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customFormat="false" ht="21.75" hidden="false" customHeight="true" outlineLevel="0" collapsed="false">
      <c r="A1203" s="4" t="n">
        <v>43488</v>
      </c>
      <c r="B1203" s="8" t="s">
        <v>42</v>
      </c>
      <c r="C1203" s="32" t="s">
        <v>15</v>
      </c>
      <c r="D1203" s="32" t="s">
        <v>43</v>
      </c>
      <c r="E1203" s="18" t="s">
        <v>109</v>
      </c>
      <c r="F1203" s="32" t="s">
        <v>3049</v>
      </c>
      <c r="G1203" s="32" t="n">
        <v>5930978614090</v>
      </c>
      <c r="H1203" s="32" t="s">
        <v>3050</v>
      </c>
      <c r="I1203" s="1"/>
      <c r="J1203" s="1"/>
      <c r="K1203" s="1" t="s">
        <v>21</v>
      </c>
      <c r="L1203" s="1"/>
      <c r="M1203" s="1"/>
      <c r="N1203" s="1"/>
      <c r="O1203" s="1"/>
      <c r="P1203" s="6" t="s">
        <v>21</v>
      </c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customFormat="false" ht="21.75" hidden="false" customHeight="true" outlineLevel="0" collapsed="false">
      <c r="A1204" s="4" t="n">
        <v>43488</v>
      </c>
      <c r="B1204" s="8" t="s">
        <v>42</v>
      </c>
      <c r="C1204" s="32" t="s">
        <v>15</v>
      </c>
      <c r="D1204" s="32" t="s">
        <v>43</v>
      </c>
      <c r="E1204" s="18" t="s">
        <v>109</v>
      </c>
      <c r="F1204" s="32" t="s">
        <v>3051</v>
      </c>
      <c r="G1204" s="32" t="n">
        <v>593978855584</v>
      </c>
      <c r="H1204" s="32" t="s">
        <v>3052</v>
      </c>
      <c r="I1204" s="1"/>
      <c r="J1204" s="1"/>
      <c r="K1204" s="1" t="s">
        <v>3053</v>
      </c>
      <c r="L1204" s="1"/>
      <c r="M1204" s="1"/>
      <c r="N1204" s="1"/>
      <c r="O1204" s="1"/>
      <c r="P1204" s="6" t="s">
        <v>126</v>
      </c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customFormat="false" ht="21.75" hidden="false" customHeight="true" outlineLevel="0" collapsed="false">
      <c r="A1205" s="4" t="n">
        <v>43488</v>
      </c>
      <c r="B1205" s="8" t="s">
        <v>42</v>
      </c>
      <c r="C1205" s="32" t="s">
        <v>15</v>
      </c>
      <c r="D1205" s="32" t="s">
        <v>43</v>
      </c>
      <c r="E1205" s="18" t="s">
        <v>109</v>
      </c>
      <c r="F1205" s="32" t="s">
        <v>3054</v>
      </c>
      <c r="G1205" s="32" t="n">
        <v>593994439368</v>
      </c>
      <c r="H1205" s="32" t="s">
        <v>3055</v>
      </c>
      <c r="I1205" s="1"/>
      <c r="J1205" s="1"/>
      <c r="K1205" s="1" t="s">
        <v>21</v>
      </c>
      <c r="L1205" s="1"/>
      <c r="M1205" s="1"/>
      <c r="N1205" s="1"/>
      <c r="O1205" s="1"/>
      <c r="P1205" s="6" t="s">
        <v>21</v>
      </c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customFormat="false" ht="21.75" hidden="false" customHeight="true" outlineLevel="0" collapsed="false">
      <c r="A1206" s="4" t="n">
        <v>43488</v>
      </c>
      <c r="B1206" s="8" t="s">
        <v>42</v>
      </c>
      <c r="C1206" s="32" t="s">
        <v>26</v>
      </c>
      <c r="D1206" s="32" t="s">
        <v>43</v>
      </c>
      <c r="E1206" s="18" t="s">
        <v>109</v>
      </c>
      <c r="F1206" s="32" t="s">
        <v>3056</v>
      </c>
      <c r="G1206" s="32" t="n">
        <v>593991143582</v>
      </c>
      <c r="H1206" s="32" t="s">
        <v>3057</v>
      </c>
      <c r="I1206" s="1"/>
      <c r="J1206" s="1"/>
      <c r="K1206" s="1" t="s">
        <v>3058</v>
      </c>
      <c r="L1206" s="1"/>
      <c r="M1206" s="1"/>
      <c r="N1206" s="1"/>
      <c r="O1206" s="1"/>
      <c r="P1206" s="6" t="s">
        <v>751</v>
      </c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customFormat="false" ht="21.75" hidden="false" customHeight="true" outlineLevel="0" collapsed="false">
      <c r="A1207" s="4" t="n">
        <v>43488</v>
      </c>
      <c r="B1207" s="32" t="s">
        <v>161</v>
      </c>
      <c r="C1207" s="32" t="s">
        <v>15</v>
      </c>
      <c r="D1207" s="32" t="s">
        <v>16</v>
      </c>
      <c r="E1207" s="32" t="s">
        <v>17</v>
      </c>
      <c r="F1207" s="32" t="s">
        <v>3059</v>
      </c>
      <c r="G1207" s="32" t="n">
        <v>978939220</v>
      </c>
      <c r="H1207" s="32" t="s">
        <v>3060</v>
      </c>
      <c r="I1207" s="1"/>
      <c r="J1207" s="1"/>
      <c r="K1207" s="14" t="s">
        <v>3061</v>
      </c>
      <c r="L1207" s="1"/>
      <c r="M1207" s="1"/>
      <c r="N1207" s="1"/>
      <c r="O1207" s="1"/>
      <c r="P1207" s="6" t="s">
        <v>133</v>
      </c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customFormat="false" ht="21.75" hidden="false" customHeight="true" outlineLevel="0" collapsed="false">
      <c r="A1208" s="4" t="n">
        <v>43488</v>
      </c>
      <c r="B1208" s="32" t="s">
        <v>166</v>
      </c>
      <c r="C1208" s="32" t="s">
        <v>15</v>
      </c>
      <c r="D1208" s="32" t="s">
        <v>16</v>
      </c>
      <c r="E1208" s="32" t="s">
        <v>17</v>
      </c>
      <c r="F1208" s="32" t="s">
        <v>3062</v>
      </c>
      <c r="G1208" s="32" t="n">
        <v>5930989633705</v>
      </c>
      <c r="H1208" s="32" t="s">
        <v>3063</v>
      </c>
      <c r="I1208" s="1"/>
      <c r="J1208" s="1"/>
      <c r="K1208" s="1" t="s">
        <v>3064</v>
      </c>
      <c r="L1208" s="1"/>
      <c r="M1208" s="1"/>
      <c r="N1208" s="1"/>
      <c r="O1208" s="1"/>
      <c r="P1208" s="6" t="s">
        <v>133</v>
      </c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customFormat="false" ht="21.75" hidden="false" customHeight="true" outlineLevel="0" collapsed="false">
      <c r="A1209" s="4" t="n">
        <v>43488</v>
      </c>
      <c r="B1209" s="32" t="s">
        <v>166</v>
      </c>
      <c r="C1209" s="32" t="s">
        <v>15</v>
      </c>
      <c r="D1209" s="32" t="s">
        <v>16</v>
      </c>
      <c r="E1209" s="32" t="s">
        <v>17</v>
      </c>
      <c r="F1209" s="33" t="s">
        <v>3065</v>
      </c>
      <c r="G1209" s="32" t="n">
        <v>5930983829239</v>
      </c>
      <c r="H1209" s="32" t="s">
        <v>3066</v>
      </c>
      <c r="I1209" s="1"/>
      <c r="J1209" s="1"/>
      <c r="K1209" s="1" t="s">
        <v>3067</v>
      </c>
      <c r="L1209" s="1" t="s">
        <v>3068</v>
      </c>
      <c r="M1209" s="1"/>
      <c r="N1209" s="1"/>
      <c r="O1209" s="1"/>
      <c r="P1209" s="6" t="s">
        <v>133</v>
      </c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customFormat="false" ht="21.75" hidden="false" customHeight="true" outlineLevel="0" collapsed="false">
      <c r="A1210" s="4" t="n">
        <v>43488</v>
      </c>
      <c r="B1210" s="32" t="s">
        <v>166</v>
      </c>
      <c r="C1210" s="32" t="s">
        <v>26</v>
      </c>
      <c r="D1210" s="32" t="s">
        <v>16</v>
      </c>
      <c r="E1210" s="32" t="s">
        <v>17</v>
      </c>
      <c r="F1210" s="32" t="s">
        <v>3069</v>
      </c>
      <c r="G1210" s="32" t="n">
        <v>593981648605</v>
      </c>
      <c r="H1210" s="32" t="s">
        <v>3070</v>
      </c>
      <c r="I1210" s="1"/>
      <c r="J1210" s="1"/>
      <c r="K1210" s="1" t="s">
        <v>3030</v>
      </c>
      <c r="L1210" s="1"/>
      <c r="M1210" s="1"/>
      <c r="N1210" s="1"/>
      <c r="O1210" s="1"/>
      <c r="P1210" s="6" t="s">
        <v>21</v>
      </c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customFormat="false" ht="21.75" hidden="false" customHeight="true" outlineLevel="0" collapsed="false">
      <c r="A1211" s="4" t="n">
        <v>43488</v>
      </c>
      <c r="B1211" s="32" t="s">
        <v>166</v>
      </c>
      <c r="C1211" s="32" t="s">
        <v>26</v>
      </c>
      <c r="D1211" s="32" t="s">
        <v>16</v>
      </c>
      <c r="E1211" s="32" t="s">
        <v>17</v>
      </c>
      <c r="F1211" s="33" t="s">
        <v>3071</v>
      </c>
      <c r="G1211" s="32" t="n">
        <v>593979416066</v>
      </c>
      <c r="H1211" s="32" t="s">
        <v>3072</v>
      </c>
      <c r="I1211" s="1"/>
      <c r="J1211" s="1"/>
      <c r="K1211" s="1" t="s">
        <v>3073</v>
      </c>
      <c r="L1211" s="1" t="s">
        <v>3074</v>
      </c>
      <c r="M1211" s="1"/>
      <c r="N1211" s="1"/>
      <c r="O1211" s="1"/>
      <c r="P1211" s="6" t="s">
        <v>133</v>
      </c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customFormat="false" ht="21.75" hidden="false" customHeight="true" outlineLevel="0" collapsed="false">
      <c r="A1212" s="4" t="n">
        <v>43488</v>
      </c>
      <c r="B1212" s="32" t="s">
        <v>166</v>
      </c>
      <c r="C1212" s="32" t="s">
        <v>26</v>
      </c>
      <c r="D1212" s="32" t="s">
        <v>16</v>
      </c>
      <c r="E1212" s="32" t="s">
        <v>17</v>
      </c>
      <c r="F1212" s="33" t="s">
        <v>3075</v>
      </c>
      <c r="G1212" s="32" t="n">
        <v>593968094792</v>
      </c>
      <c r="H1212" s="32" t="s">
        <v>3076</v>
      </c>
      <c r="I1212" s="1"/>
      <c r="J1212" s="1"/>
      <c r="K1212" s="1" t="s">
        <v>3077</v>
      </c>
      <c r="L1212" s="1" t="s">
        <v>3078</v>
      </c>
      <c r="M1212" s="1"/>
      <c r="N1212" s="1"/>
      <c r="O1212" s="1"/>
      <c r="P1212" s="6" t="s">
        <v>31</v>
      </c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customFormat="false" ht="21.75" hidden="false" customHeight="true" outlineLevel="0" collapsed="false">
      <c r="A1213" s="4" t="n">
        <v>43488</v>
      </c>
      <c r="B1213" s="32" t="s">
        <v>323</v>
      </c>
      <c r="C1213" s="32" t="s">
        <v>15</v>
      </c>
      <c r="D1213" s="32" t="s">
        <v>43</v>
      </c>
      <c r="E1213" s="18" t="s">
        <v>109</v>
      </c>
      <c r="F1213" s="32" t="s">
        <v>3079</v>
      </c>
      <c r="G1213" s="32" t="n">
        <v>5930982539626</v>
      </c>
      <c r="H1213" s="32" t="s">
        <v>3080</v>
      </c>
      <c r="I1213" s="1"/>
      <c r="J1213" s="1"/>
      <c r="K1213" s="1" t="s">
        <v>3081</v>
      </c>
      <c r="L1213" s="1"/>
      <c r="M1213" s="1"/>
      <c r="N1213" s="1"/>
      <c r="O1213" s="1"/>
      <c r="P1213" s="6" t="s">
        <v>751</v>
      </c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customFormat="false" ht="21.75" hidden="false" customHeight="true" outlineLevel="0" collapsed="false">
      <c r="A1214" s="4" t="n">
        <v>43488</v>
      </c>
      <c r="B1214" s="32" t="s">
        <v>323</v>
      </c>
      <c r="C1214" s="32" t="s">
        <v>15</v>
      </c>
      <c r="D1214" s="32" t="s">
        <v>43</v>
      </c>
      <c r="E1214" s="18" t="s">
        <v>109</v>
      </c>
      <c r="F1214" s="32" t="s">
        <v>3082</v>
      </c>
      <c r="G1214" s="32" t="n">
        <v>5930961611136</v>
      </c>
      <c r="H1214" s="32" t="s">
        <v>3083</v>
      </c>
      <c r="I1214" s="1"/>
      <c r="J1214" s="1"/>
      <c r="K1214" s="1" t="s">
        <v>1857</v>
      </c>
      <c r="L1214" s="1"/>
      <c r="M1214" s="1"/>
      <c r="N1214" s="1"/>
      <c r="O1214" s="1"/>
      <c r="P1214" s="6" t="s">
        <v>133</v>
      </c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customFormat="false" ht="21.75" hidden="false" customHeight="true" outlineLevel="0" collapsed="false">
      <c r="A1215" s="4" t="n">
        <v>43488</v>
      </c>
      <c r="B1215" s="32" t="s">
        <v>323</v>
      </c>
      <c r="C1215" s="32" t="s">
        <v>15</v>
      </c>
      <c r="D1215" s="32" t="s">
        <v>43</v>
      </c>
      <c r="E1215" s="18" t="s">
        <v>109</v>
      </c>
      <c r="F1215" s="32" t="s">
        <v>3084</v>
      </c>
      <c r="G1215" s="32" t="n">
        <v>593967947601</v>
      </c>
      <c r="H1215" s="32" t="s">
        <v>3085</v>
      </c>
      <c r="I1215" s="1"/>
      <c r="J1215" s="1"/>
      <c r="K1215" s="1" t="s">
        <v>21</v>
      </c>
      <c r="L1215" s="1"/>
      <c r="M1215" s="1"/>
      <c r="N1215" s="1"/>
      <c r="O1215" s="1"/>
      <c r="P1215" s="6" t="s">
        <v>21</v>
      </c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customFormat="false" ht="21.75" hidden="false" customHeight="true" outlineLevel="0" collapsed="false">
      <c r="A1216" s="4" t="n">
        <v>43488</v>
      </c>
      <c r="B1216" s="32" t="s">
        <v>323</v>
      </c>
      <c r="C1216" s="32" t="s">
        <v>15</v>
      </c>
      <c r="D1216" s="32" t="s">
        <v>43</v>
      </c>
      <c r="E1216" s="32" t="s">
        <v>109</v>
      </c>
      <c r="F1216" s="32" t="s">
        <v>3086</v>
      </c>
      <c r="G1216" s="32" t="n">
        <v>986080951</v>
      </c>
      <c r="H1216" s="32" t="s">
        <v>3087</v>
      </c>
      <c r="I1216" s="1"/>
      <c r="J1216" s="1"/>
      <c r="K1216" s="1" t="s">
        <v>3088</v>
      </c>
      <c r="L1216" s="1"/>
      <c r="M1216" s="1"/>
      <c r="N1216" s="1"/>
      <c r="O1216" s="1"/>
      <c r="P1216" s="6" t="s">
        <v>133</v>
      </c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customFormat="false" ht="21.75" hidden="false" customHeight="true" outlineLevel="0" collapsed="false">
      <c r="A1217" s="4" t="n">
        <v>43488</v>
      </c>
      <c r="B1217" s="32" t="s">
        <v>323</v>
      </c>
      <c r="C1217" s="32" t="s">
        <v>15</v>
      </c>
      <c r="D1217" s="32" t="s">
        <v>43</v>
      </c>
      <c r="E1217" s="32" t="s">
        <v>109</v>
      </c>
      <c r="F1217" s="35" t="s">
        <v>3089</v>
      </c>
      <c r="G1217" s="36" t="n">
        <v>980590821</v>
      </c>
      <c r="H1217" s="36" t="s">
        <v>3090</v>
      </c>
      <c r="I1217" s="1"/>
      <c r="J1217" s="1"/>
      <c r="K1217" s="1" t="s">
        <v>3091</v>
      </c>
      <c r="L1217" s="1"/>
      <c r="M1217" s="1"/>
      <c r="N1217" s="1"/>
      <c r="O1217" s="1"/>
      <c r="P1217" s="6" t="s">
        <v>133</v>
      </c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customFormat="false" ht="21.75" hidden="false" customHeight="true" outlineLevel="0" collapsed="false">
      <c r="A1218" s="4" t="n">
        <v>43488</v>
      </c>
      <c r="B1218" s="32" t="s">
        <v>1106</v>
      </c>
      <c r="C1218" s="32" t="s">
        <v>15</v>
      </c>
      <c r="D1218" s="32" t="s">
        <v>43</v>
      </c>
      <c r="E1218" s="18" t="s">
        <v>109</v>
      </c>
      <c r="F1218" s="32" t="s">
        <v>3092</v>
      </c>
      <c r="G1218" s="32" t="n">
        <v>593982356701</v>
      </c>
      <c r="H1218" s="32" t="s">
        <v>3093</v>
      </c>
      <c r="I1218" s="1"/>
      <c r="J1218" s="1"/>
      <c r="K1218" s="1" t="s">
        <v>21</v>
      </c>
      <c r="L1218" s="1"/>
      <c r="M1218" s="1"/>
      <c r="N1218" s="1"/>
      <c r="O1218" s="1"/>
      <c r="P1218" s="6" t="s">
        <v>21</v>
      </c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customFormat="false" ht="21.75" hidden="false" customHeight="true" outlineLevel="0" collapsed="false">
      <c r="A1219" s="4" t="n">
        <v>43488</v>
      </c>
      <c r="B1219" s="32" t="s">
        <v>1106</v>
      </c>
      <c r="C1219" s="32" t="s">
        <v>26</v>
      </c>
      <c r="D1219" s="32" t="s">
        <v>43</v>
      </c>
      <c r="E1219" s="18" t="s">
        <v>109</v>
      </c>
      <c r="F1219" s="32" t="s">
        <v>3094</v>
      </c>
      <c r="G1219" s="32" t="n">
        <v>593959074583</v>
      </c>
      <c r="H1219" s="32" t="s">
        <v>3095</v>
      </c>
      <c r="I1219" s="1"/>
      <c r="J1219" s="1"/>
      <c r="K1219" s="1" t="s">
        <v>65</v>
      </c>
      <c r="L1219" s="1"/>
      <c r="M1219" s="1"/>
      <c r="N1219" s="1"/>
      <c r="O1219" s="1"/>
      <c r="P1219" s="6" t="s">
        <v>31</v>
      </c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customFormat="false" ht="21.75" hidden="false" customHeight="true" outlineLevel="0" collapsed="false">
      <c r="A1220" s="4" t="n">
        <v>43488</v>
      </c>
      <c r="B1220" s="32" t="s">
        <v>1106</v>
      </c>
      <c r="C1220" s="32" t="s">
        <v>15</v>
      </c>
      <c r="D1220" s="32" t="s">
        <v>43</v>
      </c>
      <c r="E1220" s="18" t="s">
        <v>109</v>
      </c>
      <c r="F1220" s="32" t="s">
        <v>3096</v>
      </c>
      <c r="G1220" s="32" t="n">
        <v>593967094643</v>
      </c>
      <c r="H1220" s="32" t="s">
        <v>3097</v>
      </c>
      <c r="I1220" s="1"/>
      <c r="J1220" s="1"/>
      <c r="K1220" s="1" t="s">
        <v>21</v>
      </c>
      <c r="L1220" s="1"/>
      <c r="M1220" s="1"/>
      <c r="N1220" s="1"/>
      <c r="O1220" s="1"/>
      <c r="P1220" s="6" t="s">
        <v>21</v>
      </c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customFormat="false" ht="21.75" hidden="false" customHeight="true" outlineLevel="0" collapsed="false">
      <c r="A1221" s="4" t="n">
        <v>43488</v>
      </c>
      <c r="B1221" s="32" t="s">
        <v>1106</v>
      </c>
      <c r="C1221" s="32" t="s">
        <v>15</v>
      </c>
      <c r="D1221" s="32" t="s">
        <v>43</v>
      </c>
      <c r="E1221" s="32" t="s">
        <v>109</v>
      </c>
      <c r="F1221" s="32" t="s">
        <v>3098</v>
      </c>
      <c r="G1221" s="32" t="n">
        <v>960735501</v>
      </c>
      <c r="H1221" s="32" t="s">
        <v>3099</v>
      </c>
      <c r="I1221" s="1"/>
      <c r="J1221" s="1"/>
      <c r="K1221" s="1" t="s">
        <v>1286</v>
      </c>
      <c r="L1221" s="1"/>
      <c r="M1221" s="1"/>
      <c r="N1221" s="1"/>
      <c r="O1221" s="1"/>
      <c r="P1221" s="6" t="s">
        <v>21</v>
      </c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customFormat="false" ht="21.75" hidden="false" customHeight="true" outlineLevel="0" collapsed="false">
      <c r="A1222" s="4" t="n">
        <v>43488</v>
      </c>
      <c r="B1222" s="32" t="s">
        <v>1478</v>
      </c>
      <c r="C1222" s="32" t="s">
        <v>15</v>
      </c>
      <c r="D1222" s="32" t="s">
        <v>43</v>
      </c>
      <c r="E1222" s="18" t="s">
        <v>109</v>
      </c>
      <c r="F1222" s="32" t="s">
        <v>3100</v>
      </c>
      <c r="G1222" s="32" t="n">
        <v>593985706119</v>
      </c>
      <c r="H1222" s="32" t="s">
        <v>3101</v>
      </c>
      <c r="I1222" s="1"/>
      <c r="J1222" s="1"/>
      <c r="K1222" s="1" t="s">
        <v>3102</v>
      </c>
      <c r="L1222" s="1"/>
      <c r="M1222" s="1"/>
      <c r="N1222" s="1"/>
      <c r="O1222" s="1"/>
      <c r="P1222" s="6" t="s">
        <v>133</v>
      </c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customFormat="false" ht="21.75" hidden="false" customHeight="true" outlineLevel="0" collapsed="false">
      <c r="A1223" s="4" t="n">
        <v>43488</v>
      </c>
      <c r="B1223" s="32" t="s">
        <v>108</v>
      </c>
      <c r="C1223" s="32" t="s">
        <v>15</v>
      </c>
      <c r="D1223" s="32" t="s">
        <v>16</v>
      </c>
      <c r="E1223" s="5" t="s">
        <v>109</v>
      </c>
      <c r="F1223" s="32" t="s">
        <v>3103</v>
      </c>
      <c r="G1223" s="32" t="n">
        <v>593939622213</v>
      </c>
      <c r="H1223" s="32" t="s">
        <v>3104</v>
      </c>
      <c r="I1223" s="1"/>
      <c r="J1223" s="1"/>
      <c r="K1223" s="1" t="s">
        <v>3105</v>
      </c>
      <c r="L1223" s="1"/>
      <c r="M1223" s="1"/>
      <c r="N1223" s="1"/>
      <c r="O1223" s="1"/>
      <c r="P1223" s="6" t="s">
        <v>31</v>
      </c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customFormat="false" ht="21.75" hidden="false" customHeight="true" outlineLevel="0" collapsed="false">
      <c r="A1224" s="4" t="n">
        <v>43488</v>
      </c>
      <c r="B1224" s="32" t="s">
        <v>48</v>
      </c>
      <c r="C1224" s="32" t="s">
        <v>26</v>
      </c>
      <c r="D1224" s="32" t="s">
        <v>43</v>
      </c>
      <c r="E1224" s="18" t="s">
        <v>883</v>
      </c>
      <c r="F1224" s="32" t="s">
        <v>3106</v>
      </c>
      <c r="G1224" s="32" t="n">
        <v>5930939956336</v>
      </c>
      <c r="H1224" s="32" t="s">
        <v>3107</v>
      </c>
      <c r="I1224" s="1"/>
      <c r="J1224" s="1"/>
      <c r="K1224" s="1" t="s">
        <v>3108</v>
      </c>
      <c r="L1224" s="1"/>
      <c r="M1224" s="1"/>
      <c r="N1224" s="1"/>
      <c r="O1224" s="1"/>
      <c r="P1224" s="6" t="s">
        <v>751</v>
      </c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customFormat="false" ht="21.75" hidden="false" customHeight="true" outlineLevel="0" collapsed="false">
      <c r="A1225" s="4" t="n">
        <v>43488</v>
      </c>
      <c r="B1225" s="32" t="s">
        <v>48</v>
      </c>
      <c r="C1225" s="32" t="s">
        <v>15</v>
      </c>
      <c r="D1225" s="32" t="s">
        <v>43</v>
      </c>
      <c r="E1225" s="18" t="s">
        <v>883</v>
      </c>
      <c r="F1225" s="32" t="s">
        <v>3109</v>
      </c>
      <c r="G1225" s="32" t="n">
        <v>593993551367</v>
      </c>
      <c r="H1225" s="32" t="s">
        <v>3110</v>
      </c>
      <c r="I1225" s="1"/>
      <c r="J1225" s="1"/>
      <c r="K1225" s="1" t="s">
        <v>21</v>
      </c>
      <c r="L1225" s="1"/>
      <c r="M1225" s="1"/>
      <c r="N1225" s="1"/>
      <c r="O1225" s="1"/>
      <c r="P1225" s="1" t="s">
        <v>21</v>
      </c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customFormat="false" ht="21.75" hidden="false" customHeight="true" outlineLevel="0" collapsed="false">
      <c r="A1226" s="4" t="n">
        <v>43488</v>
      </c>
      <c r="B1226" s="32" t="s">
        <v>48</v>
      </c>
      <c r="C1226" s="32" t="s">
        <v>15</v>
      </c>
      <c r="D1226" s="32" t="s">
        <v>43</v>
      </c>
      <c r="E1226" s="18" t="s">
        <v>883</v>
      </c>
      <c r="F1226" s="32" t="s">
        <v>3111</v>
      </c>
      <c r="G1226" s="32" t="n">
        <v>593998085642</v>
      </c>
      <c r="H1226" s="32" t="s">
        <v>3112</v>
      </c>
      <c r="I1226" s="1"/>
      <c r="J1226" s="1"/>
      <c r="K1226" s="1" t="s">
        <v>441</v>
      </c>
      <c r="L1226" s="1"/>
      <c r="M1226" s="1"/>
      <c r="N1226" s="1"/>
      <c r="O1226" s="1"/>
      <c r="P1226" s="6" t="s">
        <v>133</v>
      </c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customFormat="false" ht="21.75" hidden="false" customHeight="true" outlineLevel="0" collapsed="false">
      <c r="A1227" s="4" t="n">
        <v>43488</v>
      </c>
      <c r="B1227" s="32" t="s">
        <v>48</v>
      </c>
      <c r="C1227" s="32" t="s">
        <v>15</v>
      </c>
      <c r="D1227" s="32" t="s">
        <v>43</v>
      </c>
      <c r="E1227" s="18" t="s">
        <v>883</v>
      </c>
      <c r="F1227" s="32" t="s">
        <v>3113</v>
      </c>
      <c r="G1227" s="32" t="n">
        <v>593988509636</v>
      </c>
      <c r="H1227" s="32" t="s">
        <v>3114</v>
      </c>
      <c r="I1227" s="1"/>
      <c r="J1227" s="1"/>
      <c r="K1227" s="1" t="s">
        <v>3115</v>
      </c>
      <c r="L1227" s="1"/>
      <c r="M1227" s="1"/>
      <c r="N1227" s="1"/>
      <c r="O1227" s="1"/>
      <c r="P1227" s="6" t="s">
        <v>126</v>
      </c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customFormat="false" ht="21.75" hidden="false" customHeight="true" outlineLevel="0" collapsed="false">
      <c r="A1228" s="4" t="n">
        <v>43488</v>
      </c>
      <c r="B1228" s="32" t="s">
        <v>48</v>
      </c>
      <c r="C1228" s="32" t="s">
        <v>26</v>
      </c>
      <c r="D1228" s="32" t="s">
        <v>43</v>
      </c>
      <c r="E1228" s="18" t="s">
        <v>883</v>
      </c>
      <c r="F1228" s="32" t="s">
        <v>3116</v>
      </c>
      <c r="G1228" s="32" t="n">
        <v>5930979416401</v>
      </c>
      <c r="H1228" s="32" t="s">
        <v>3117</v>
      </c>
      <c r="I1228" s="1"/>
      <c r="J1228" s="1"/>
      <c r="K1228" s="1" t="s">
        <v>21</v>
      </c>
      <c r="L1228" s="1"/>
      <c r="M1228" s="1"/>
      <c r="N1228" s="1"/>
      <c r="O1228" s="1"/>
      <c r="P1228" s="1" t="s">
        <v>21</v>
      </c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customFormat="false" ht="21.75" hidden="false" customHeight="true" outlineLevel="0" collapsed="false">
      <c r="A1229" s="4" t="n">
        <v>43488</v>
      </c>
      <c r="B1229" s="32" t="s">
        <v>48</v>
      </c>
      <c r="C1229" s="32" t="s">
        <v>26</v>
      </c>
      <c r="D1229" s="32" t="s">
        <v>43</v>
      </c>
      <c r="E1229" s="18" t="s">
        <v>883</v>
      </c>
      <c r="F1229" s="32" t="s">
        <v>3118</v>
      </c>
      <c r="G1229" s="32" t="n">
        <v>5930999978506</v>
      </c>
      <c r="H1229" s="32" t="s">
        <v>3119</v>
      </c>
      <c r="I1229" s="1"/>
      <c r="J1229" s="1"/>
      <c r="K1229" s="1" t="s">
        <v>3120</v>
      </c>
      <c r="L1229" s="1"/>
      <c r="M1229" s="1"/>
      <c r="N1229" s="1"/>
      <c r="O1229" s="1"/>
      <c r="P1229" s="6" t="s">
        <v>21</v>
      </c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customFormat="false" ht="21.75" hidden="false" customHeight="true" outlineLevel="0" collapsed="false">
      <c r="A1230" s="4" t="n">
        <v>43488</v>
      </c>
      <c r="B1230" s="32" t="s">
        <v>48</v>
      </c>
      <c r="C1230" s="32" t="s">
        <v>26</v>
      </c>
      <c r="D1230" s="32" t="s">
        <v>43</v>
      </c>
      <c r="E1230" s="32" t="s">
        <v>44</v>
      </c>
      <c r="F1230" s="32" t="s">
        <v>3121</v>
      </c>
      <c r="G1230" s="32" t="n">
        <v>999453751</v>
      </c>
      <c r="H1230" s="32"/>
      <c r="I1230" s="1"/>
      <c r="J1230" s="1"/>
      <c r="K1230" s="1" t="s">
        <v>21</v>
      </c>
      <c r="L1230" s="1"/>
      <c r="M1230" s="1"/>
      <c r="N1230" s="1"/>
      <c r="O1230" s="1"/>
      <c r="P1230" s="6" t="s">
        <v>21</v>
      </c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customFormat="false" ht="21.75" hidden="false" customHeight="true" outlineLevel="0" collapsed="false">
      <c r="A1231" s="4" t="n">
        <v>43488</v>
      </c>
      <c r="B1231" s="32" t="s">
        <v>48</v>
      </c>
      <c r="C1231" s="32" t="s">
        <v>15</v>
      </c>
      <c r="D1231" s="32" t="s">
        <v>43</v>
      </c>
      <c r="E1231" s="32" t="s">
        <v>44</v>
      </c>
      <c r="F1231" s="32" t="s">
        <v>3122</v>
      </c>
      <c r="G1231" s="32" t="n">
        <v>999326087</v>
      </c>
      <c r="H1231" s="32" t="s">
        <v>3123</v>
      </c>
      <c r="I1231" s="1"/>
      <c r="J1231" s="1"/>
      <c r="K1231" s="1" t="s">
        <v>21</v>
      </c>
      <c r="L1231" s="1"/>
      <c r="M1231" s="1"/>
      <c r="N1231" s="1"/>
      <c r="O1231" s="1"/>
      <c r="P1231" s="6" t="s">
        <v>21</v>
      </c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customFormat="false" ht="21.75" hidden="false" customHeight="true" outlineLevel="0" collapsed="false">
      <c r="A1232" s="4" t="n">
        <v>43488</v>
      </c>
      <c r="B1232" s="32" t="s">
        <v>48</v>
      </c>
      <c r="C1232" s="32" t="s">
        <v>26</v>
      </c>
      <c r="D1232" s="32" t="s">
        <v>43</v>
      </c>
      <c r="E1232" s="32" t="s">
        <v>44</v>
      </c>
      <c r="F1232" s="32" t="s">
        <v>3124</v>
      </c>
      <c r="G1232" s="32" t="n">
        <v>5930981449579</v>
      </c>
      <c r="H1232" s="32" t="s">
        <v>3125</v>
      </c>
      <c r="I1232" s="34"/>
      <c r="J1232" s="1"/>
      <c r="K1232" s="1" t="s">
        <v>65</v>
      </c>
      <c r="L1232" s="1"/>
      <c r="M1232" s="1"/>
      <c r="N1232" s="1"/>
      <c r="O1232" s="1"/>
      <c r="P1232" s="6" t="s">
        <v>3126</v>
      </c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customFormat="false" ht="21.75" hidden="false" customHeight="true" outlineLevel="0" collapsed="false">
      <c r="A1233" s="4" t="n">
        <v>43488</v>
      </c>
      <c r="B1233" s="32" t="s">
        <v>48</v>
      </c>
      <c r="C1233" s="32" t="s">
        <v>15</v>
      </c>
      <c r="D1233" s="32" t="s">
        <v>43</v>
      </c>
      <c r="E1233" s="32" t="s">
        <v>44</v>
      </c>
      <c r="F1233" s="32" t="s">
        <v>3127</v>
      </c>
      <c r="G1233" s="32" t="n">
        <v>593968361113</v>
      </c>
      <c r="H1233" s="32" t="s">
        <v>3128</v>
      </c>
      <c r="I1233" s="34"/>
      <c r="J1233" s="1"/>
      <c r="K1233" s="1" t="s">
        <v>3129</v>
      </c>
      <c r="L1233" s="1"/>
      <c r="M1233" s="1"/>
      <c r="N1233" s="1"/>
      <c r="O1233" s="1"/>
      <c r="P1233" s="6" t="s">
        <v>3126</v>
      </c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customFormat="false" ht="21.75" hidden="false" customHeight="true" outlineLevel="0" collapsed="false">
      <c r="A1234" s="4" t="n">
        <v>43488</v>
      </c>
      <c r="B1234" s="32" t="s">
        <v>48</v>
      </c>
      <c r="C1234" s="32" t="s">
        <v>26</v>
      </c>
      <c r="D1234" s="32" t="s">
        <v>43</v>
      </c>
      <c r="E1234" s="32" t="s">
        <v>44</v>
      </c>
      <c r="F1234" s="32" t="s">
        <v>1621</v>
      </c>
      <c r="G1234" s="32" t="n">
        <v>5930959920987</v>
      </c>
      <c r="H1234" s="32" t="s">
        <v>1622</v>
      </c>
      <c r="I1234" s="34"/>
      <c r="J1234" s="1"/>
      <c r="K1234" s="1" t="s">
        <v>3130</v>
      </c>
      <c r="L1234" s="1" t="s">
        <v>58</v>
      </c>
      <c r="M1234" s="1"/>
      <c r="N1234" s="1"/>
      <c r="O1234" s="1"/>
      <c r="P1234" s="6" t="s">
        <v>21</v>
      </c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customFormat="false" ht="21.75" hidden="false" customHeight="true" outlineLevel="0" collapsed="false">
      <c r="A1235" s="4" t="n">
        <v>43488</v>
      </c>
      <c r="B1235" s="32" t="s">
        <v>48</v>
      </c>
      <c r="C1235" s="32" t="s">
        <v>15</v>
      </c>
      <c r="D1235" s="32" t="s">
        <v>43</v>
      </c>
      <c r="E1235" s="32" t="s">
        <v>44</v>
      </c>
      <c r="F1235" s="32" t="s">
        <v>3131</v>
      </c>
      <c r="G1235" s="32" t="n">
        <v>593994903899</v>
      </c>
      <c r="H1235" s="32" t="s">
        <v>3132</v>
      </c>
      <c r="I1235" s="34"/>
      <c r="J1235" s="1"/>
      <c r="K1235" s="1" t="s">
        <v>21</v>
      </c>
      <c r="L1235" s="1"/>
      <c r="M1235" s="1"/>
      <c r="N1235" s="1"/>
      <c r="O1235" s="1"/>
      <c r="P1235" s="6" t="s">
        <v>21</v>
      </c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customFormat="false" ht="21.75" hidden="false" customHeight="true" outlineLevel="0" collapsed="false">
      <c r="A1236" s="4" t="n">
        <v>43488</v>
      </c>
      <c r="B1236" s="32" t="s">
        <v>48</v>
      </c>
      <c r="C1236" s="32" t="s">
        <v>15</v>
      </c>
      <c r="D1236" s="32" t="s">
        <v>43</v>
      </c>
      <c r="E1236" s="32" t="s">
        <v>44</v>
      </c>
      <c r="F1236" s="32" t="s">
        <v>3133</v>
      </c>
      <c r="G1236" s="32" t="n">
        <v>593982402807</v>
      </c>
      <c r="H1236" s="32" t="s">
        <v>3134</v>
      </c>
      <c r="I1236" s="34"/>
      <c r="J1236" s="1"/>
      <c r="K1236" s="1" t="s">
        <v>3135</v>
      </c>
      <c r="L1236" s="1"/>
      <c r="M1236" s="1"/>
      <c r="N1236" s="1"/>
      <c r="O1236" s="1"/>
      <c r="P1236" s="6" t="s">
        <v>2756</v>
      </c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customFormat="false" ht="21.75" hidden="false" customHeight="true" outlineLevel="0" collapsed="false">
      <c r="A1237" s="4" t="n">
        <v>43488</v>
      </c>
      <c r="B1237" s="32" t="s">
        <v>48</v>
      </c>
      <c r="C1237" s="32" t="s">
        <v>15</v>
      </c>
      <c r="D1237" s="32" t="s">
        <v>43</v>
      </c>
      <c r="E1237" s="32" t="s">
        <v>44</v>
      </c>
      <c r="F1237" s="32" t="s">
        <v>3136</v>
      </c>
      <c r="G1237" s="32" t="n">
        <v>593994964103</v>
      </c>
      <c r="H1237" s="32" t="s">
        <v>3137</v>
      </c>
      <c r="I1237" s="34"/>
      <c r="J1237" s="1"/>
      <c r="K1237" s="1" t="s">
        <v>3138</v>
      </c>
      <c r="L1237" s="1"/>
      <c r="M1237" s="1"/>
      <c r="N1237" s="1"/>
      <c r="O1237" s="1"/>
      <c r="P1237" s="6" t="s">
        <v>126</v>
      </c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customFormat="false" ht="21.75" hidden="false" customHeight="true" outlineLevel="0" collapsed="false">
      <c r="A1238" s="4" t="n">
        <v>43488</v>
      </c>
      <c r="B1238" s="32" t="s">
        <v>48</v>
      </c>
      <c r="C1238" s="32" t="s">
        <v>15</v>
      </c>
      <c r="D1238" s="32" t="s">
        <v>43</v>
      </c>
      <c r="E1238" s="32" t="s">
        <v>44</v>
      </c>
      <c r="F1238" s="32" t="s">
        <v>3139</v>
      </c>
      <c r="G1238" s="32" t="n">
        <v>593998508603</v>
      </c>
      <c r="H1238" s="32" t="s">
        <v>3140</v>
      </c>
      <c r="I1238" s="34"/>
      <c r="J1238" s="1"/>
      <c r="K1238" s="1" t="s">
        <v>1857</v>
      </c>
      <c r="L1238" s="1"/>
      <c r="M1238" s="1"/>
      <c r="N1238" s="1"/>
      <c r="O1238" s="1"/>
      <c r="P1238" s="6" t="s">
        <v>133</v>
      </c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customFormat="false" ht="21.75" hidden="false" customHeight="true" outlineLevel="0" collapsed="false">
      <c r="A1239" s="4" t="n">
        <v>43488</v>
      </c>
      <c r="B1239" s="32" t="s">
        <v>48</v>
      </c>
      <c r="C1239" s="32" t="s">
        <v>15</v>
      </c>
      <c r="D1239" s="32" t="s">
        <v>43</v>
      </c>
      <c r="E1239" s="32" t="s">
        <v>44</v>
      </c>
      <c r="F1239" s="32" t="s">
        <v>3141</v>
      </c>
      <c r="G1239" s="32" t="n">
        <v>593967305740</v>
      </c>
      <c r="H1239" s="32" t="s">
        <v>3142</v>
      </c>
      <c r="I1239" s="34"/>
      <c r="J1239" s="1"/>
      <c r="K1239" s="1" t="s">
        <v>21</v>
      </c>
      <c r="L1239" s="1"/>
      <c r="M1239" s="1"/>
      <c r="N1239" s="1"/>
      <c r="O1239" s="1"/>
      <c r="P1239" s="6" t="s">
        <v>58</v>
      </c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customFormat="false" ht="21.75" hidden="false" customHeight="true" outlineLevel="0" collapsed="false">
      <c r="A1240" s="4" t="n">
        <v>43488</v>
      </c>
      <c r="B1240" s="32" t="s">
        <v>48</v>
      </c>
      <c r="C1240" s="32" t="s">
        <v>26</v>
      </c>
      <c r="D1240" s="32" t="s">
        <v>43</v>
      </c>
      <c r="E1240" s="32" t="s">
        <v>44</v>
      </c>
      <c r="F1240" s="32" t="s">
        <v>3143</v>
      </c>
      <c r="G1240" s="32" t="n">
        <v>593986021168</v>
      </c>
      <c r="H1240" s="32" t="s">
        <v>3144</v>
      </c>
      <c r="I1240" s="34"/>
      <c r="J1240" s="1"/>
      <c r="K1240" s="1" t="s">
        <v>21</v>
      </c>
      <c r="L1240" s="1"/>
      <c r="M1240" s="1"/>
      <c r="N1240" s="1"/>
      <c r="O1240" s="1"/>
      <c r="P1240" s="6" t="s">
        <v>58</v>
      </c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customFormat="false" ht="21.75" hidden="false" customHeight="true" outlineLevel="0" collapsed="false">
      <c r="A1241" s="4" t="n">
        <v>43488</v>
      </c>
      <c r="B1241" s="32" t="s">
        <v>48</v>
      </c>
      <c r="C1241" s="32" t="s">
        <v>15</v>
      </c>
      <c r="D1241" s="32" t="s">
        <v>43</v>
      </c>
      <c r="E1241" s="32" t="s">
        <v>44</v>
      </c>
      <c r="F1241" s="32" t="s">
        <v>3145</v>
      </c>
      <c r="G1241" s="32" t="n">
        <v>593998765061</v>
      </c>
      <c r="H1241" s="32" t="s">
        <v>3146</v>
      </c>
      <c r="I1241" s="34"/>
      <c r="J1241" s="1"/>
      <c r="K1241" s="1" t="s">
        <v>21</v>
      </c>
      <c r="L1241" s="1"/>
      <c r="M1241" s="1"/>
      <c r="N1241" s="1"/>
      <c r="O1241" s="1"/>
      <c r="P1241" s="6" t="s">
        <v>58</v>
      </c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customFormat="false" ht="21.75" hidden="false" customHeight="true" outlineLevel="0" collapsed="false">
      <c r="A1242" s="4" t="n">
        <v>43488</v>
      </c>
      <c r="B1242" s="8" t="s">
        <v>48</v>
      </c>
      <c r="C1242" s="32" t="s">
        <v>26</v>
      </c>
      <c r="D1242" s="32" t="s">
        <v>43</v>
      </c>
      <c r="E1242" s="32" t="s">
        <v>44</v>
      </c>
      <c r="F1242" s="32" t="s">
        <v>3147</v>
      </c>
      <c r="G1242" s="32" t="n">
        <v>961445340</v>
      </c>
      <c r="H1242" s="32"/>
      <c r="I1242" s="1"/>
      <c r="J1242" s="1"/>
      <c r="K1242" s="1" t="s">
        <v>3148</v>
      </c>
      <c r="L1242" s="1"/>
      <c r="M1242" s="1"/>
      <c r="N1242" s="1"/>
      <c r="O1242" s="1"/>
      <c r="P1242" s="6" t="s">
        <v>133</v>
      </c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customFormat="false" ht="21.75" hidden="false" customHeight="true" outlineLevel="0" collapsed="false">
      <c r="A1243" s="4" t="n">
        <v>43488</v>
      </c>
      <c r="B1243" s="32" t="s">
        <v>48</v>
      </c>
      <c r="C1243" s="32" t="s">
        <v>15</v>
      </c>
      <c r="D1243" s="32" t="s">
        <v>43</v>
      </c>
      <c r="E1243" s="18" t="s">
        <v>109</v>
      </c>
      <c r="F1243" s="32" t="s">
        <v>3149</v>
      </c>
      <c r="G1243" s="32" t="n">
        <v>593979089306</v>
      </c>
      <c r="H1243" s="32" t="s">
        <v>3150</v>
      </c>
      <c r="I1243" s="1"/>
      <c r="J1243" s="1"/>
      <c r="K1243" s="1" t="s">
        <v>3151</v>
      </c>
      <c r="L1243" s="1"/>
      <c r="M1243" s="1"/>
      <c r="N1243" s="1"/>
      <c r="O1243" s="1"/>
      <c r="P1243" s="6" t="s">
        <v>2756</v>
      </c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customFormat="false" ht="21.75" hidden="false" customHeight="true" outlineLevel="0" collapsed="false">
      <c r="A1244" s="4" t="n">
        <v>43488</v>
      </c>
      <c r="B1244" s="32" t="s">
        <v>48</v>
      </c>
      <c r="C1244" s="32" t="s">
        <v>15</v>
      </c>
      <c r="D1244" s="32" t="s">
        <v>43</v>
      </c>
      <c r="E1244" s="18" t="s">
        <v>109</v>
      </c>
      <c r="F1244" s="32" t="s">
        <v>3152</v>
      </c>
      <c r="G1244" s="32" t="n">
        <v>593978773541</v>
      </c>
      <c r="H1244" s="32" t="s">
        <v>3153</v>
      </c>
      <c r="I1244" s="1"/>
      <c r="J1244" s="1"/>
      <c r="K1244" s="1" t="s">
        <v>21</v>
      </c>
      <c r="L1244" s="1"/>
      <c r="M1244" s="1"/>
      <c r="N1244" s="1"/>
      <c r="O1244" s="1"/>
      <c r="P1244" s="6" t="s">
        <v>58</v>
      </c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customFormat="false" ht="21.75" hidden="false" customHeight="true" outlineLevel="0" collapsed="false">
      <c r="A1245" s="4" t="n">
        <v>43488</v>
      </c>
      <c r="B1245" s="32" t="s">
        <v>48</v>
      </c>
      <c r="C1245" s="32" t="s">
        <v>15</v>
      </c>
      <c r="D1245" s="32" t="s">
        <v>43</v>
      </c>
      <c r="E1245" s="18" t="s">
        <v>109</v>
      </c>
      <c r="F1245" s="32" t="s">
        <v>3154</v>
      </c>
      <c r="G1245" s="32" t="n">
        <v>961650765</v>
      </c>
      <c r="H1245" s="32" t="s">
        <v>3155</v>
      </c>
      <c r="I1245" s="1"/>
      <c r="J1245" s="1"/>
      <c r="K1245" s="1" t="s">
        <v>21</v>
      </c>
      <c r="L1245" s="1"/>
      <c r="M1245" s="1"/>
      <c r="N1245" s="1"/>
      <c r="O1245" s="1"/>
      <c r="P1245" s="6" t="s">
        <v>58</v>
      </c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customFormat="false" ht="21.75" hidden="false" customHeight="true" outlineLevel="0" collapsed="false">
      <c r="A1246" s="4" t="n">
        <v>43488</v>
      </c>
      <c r="B1246" s="32" t="s">
        <v>48</v>
      </c>
      <c r="C1246" s="32" t="s">
        <v>15</v>
      </c>
      <c r="D1246" s="32" t="s">
        <v>43</v>
      </c>
      <c r="E1246" s="18" t="s">
        <v>109</v>
      </c>
      <c r="F1246" s="32" t="s">
        <v>3156</v>
      </c>
      <c r="G1246" s="32" t="n">
        <v>593988390238</v>
      </c>
      <c r="H1246" s="32" t="s">
        <v>3157</v>
      </c>
      <c r="I1246" s="1"/>
      <c r="J1246" s="1"/>
      <c r="K1246" s="1" t="s">
        <v>3158</v>
      </c>
      <c r="L1246" s="1"/>
      <c r="M1246" s="1"/>
      <c r="N1246" s="1"/>
      <c r="O1246" s="1"/>
      <c r="P1246" s="6" t="s">
        <v>31</v>
      </c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customFormat="false" ht="21.75" hidden="false" customHeight="true" outlineLevel="0" collapsed="false">
      <c r="A1247" s="4" t="n">
        <v>43488</v>
      </c>
      <c r="B1247" s="32" t="s">
        <v>48</v>
      </c>
      <c r="C1247" s="32" t="s">
        <v>15</v>
      </c>
      <c r="D1247" s="32" t="s">
        <v>43</v>
      </c>
      <c r="E1247" s="18" t="s">
        <v>109</v>
      </c>
      <c r="F1247" s="32" t="s">
        <v>3159</v>
      </c>
      <c r="G1247" s="32" t="n">
        <v>593959411712</v>
      </c>
      <c r="H1247" s="32" t="s">
        <v>3160</v>
      </c>
      <c r="I1247" s="1"/>
      <c r="J1247" s="1"/>
      <c r="K1247" s="1" t="s">
        <v>21</v>
      </c>
      <c r="L1247" s="1"/>
      <c r="M1247" s="1"/>
      <c r="N1247" s="1"/>
      <c r="O1247" s="1"/>
      <c r="P1247" s="6" t="s">
        <v>58</v>
      </c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customFormat="false" ht="21.75" hidden="false" customHeight="true" outlineLevel="0" collapsed="false">
      <c r="A1248" s="4" t="n">
        <v>43488</v>
      </c>
      <c r="B1248" s="32" t="s">
        <v>48</v>
      </c>
      <c r="C1248" s="32" t="s">
        <v>15</v>
      </c>
      <c r="D1248" s="32" t="s">
        <v>43</v>
      </c>
      <c r="E1248" s="18" t="s">
        <v>109</v>
      </c>
      <c r="F1248" s="32" t="s">
        <v>2060</v>
      </c>
      <c r="G1248" s="32" t="n">
        <v>5930982942486</v>
      </c>
      <c r="H1248" s="32" t="s">
        <v>2061</v>
      </c>
      <c r="I1248" s="1"/>
      <c r="J1248" s="1"/>
      <c r="K1248" s="1" t="s">
        <v>21</v>
      </c>
      <c r="L1248" s="1"/>
      <c r="M1248" s="1"/>
      <c r="N1248" s="1"/>
      <c r="O1248" s="1"/>
      <c r="P1248" s="6" t="s">
        <v>58</v>
      </c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customFormat="false" ht="21.75" hidden="false" customHeight="true" outlineLevel="0" collapsed="false">
      <c r="A1249" s="4" t="n">
        <v>43488</v>
      </c>
      <c r="B1249" s="32" t="s">
        <v>48</v>
      </c>
      <c r="C1249" s="32" t="s">
        <v>15</v>
      </c>
      <c r="D1249" s="32" t="s">
        <v>43</v>
      </c>
      <c r="E1249" s="18" t="s">
        <v>109</v>
      </c>
      <c r="F1249" s="32" t="s">
        <v>2805</v>
      </c>
      <c r="G1249" s="32" t="n">
        <v>593999327308</v>
      </c>
      <c r="H1249" s="32" t="s">
        <v>3161</v>
      </c>
      <c r="I1249" s="1"/>
      <c r="J1249" s="1"/>
      <c r="K1249" s="1" t="s">
        <v>21</v>
      </c>
      <c r="L1249" s="1"/>
      <c r="M1249" s="1"/>
      <c r="N1249" s="1"/>
      <c r="O1249" s="1"/>
      <c r="P1249" s="6" t="s">
        <v>58</v>
      </c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customFormat="false" ht="21.75" hidden="false" customHeight="true" outlineLevel="0" collapsed="false">
      <c r="A1250" s="4" t="n">
        <v>43488</v>
      </c>
      <c r="B1250" s="32" t="s">
        <v>48</v>
      </c>
      <c r="C1250" s="32" t="s">
        <v>15</v>
      </c>
      <c r="D1250" s="32" t="s">
        <v>43</v>
      </c>
      <c r="E1250" s="18" t="s">
        <v>109</v>
      </c>
      <c r="F1250" s="32" t="s">
        <v>3162</v>
      </c>
      <c r="G1250" s="32" t="n">
        <v>5930988146357</v>
      </c>
      <c r="H1250" s="32" t="s">
        <v>3163</v>
      </c>
      <c r="I1250" s="1"/>
      <c r="J1250" s="1"/>
      <c r="K1250" s="1" t="s">
        <v>2235</v>
      </c>
      <c r="L1250" s="1"/>
      <c r="M1250" s="1"/>
      <c r="N1250" s="1"/>
      <c r="O1250" s="1"/>
      <c r="P1250" s="6" t="s">
        <v>2756</v>
      </c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customFormat="false" ht="21.75" hidden="false" customHeight="true" outlineLevel="0" collapsed="false">
      <c r="A1251" s="4" t="n">
        <v>43488</v>
      </c>
      <c r="B1251" s="32" t="s">
        <v>48</v>
      </c>
      <c r="C1251" s="32" t="s">
        <v>15</v>
      </c>
      <c r="D1251" s="32" t="s">
        <v>43</v>
      </c>
      <c r="E1251" s="18" t="s">
        <v>109</v>
      </c>
      <c r="F1251" s="32" t="s">
        <v>3164</v>
      </c>
      <c r="G1251" s="32" t="n">
        <v>5930985860165</v>
      </c>
      <c r="H1251" s="32" t="s">
        <v>3165</v>
      </c>
      <c r="I1251" s="1"/>
      <c r="J1251" s="1"/>
      <c r="K1251" s="1" t="s">
        <v>3166</v>
      </c>
      <c r="L1251" s="1"/>
      <c r="M1251" s="1"/>
      <c r="N1251" s="1"/>
      <c r="O1251" s="1"/>
      <c r="P1251" s="6" t="s">
        <v>531</v>
      </c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customFormat="false" ht="21.75" hidden="false" customHeight="true" outlineLevel="0" collapsed="false">
      <c r="A1252" s="4" t="n">
        <v>43488</v>
      </c>
      <c r="B1252" s="32" t="s">
        <v>48</v>
      </c>
      <c r="C1252" s="32" t="s">
        <v>15</v>
      </c>
      <c r="D1252" s="32" t="s">
        <v>43</v>
      </c>
      <c r="E1252" s="18" t="s">
        <v>109</v>
      </c>
      <c r="F1252" s="32" t="s">
        <v>3167</v>
      </c>
      <c r="G1252" s="32" t="n">
        <v>593983319730</v>
      </c>
      <c r="H1252" s="32" t="s">
        <v>3168</v>
      </c>
      <c r="I1252" s="1"/>
      <c r="J1252" s="1"/>
      <c r="K1252" s="1" t="s">
        <v>3169</v>
      </c>
      <c r="L1252" s="1"/>
      <c r="M1252" s="1"/>
      <c r="N1252" s="1"/>
      <c r="O1252" s="1"/>
      <c r="P1252" s="6" t="s">
        <v>2756</v>
      </c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customFormat="false" ht="21.75" hidden="false" customHeight="true" outlineLevel="0" collapsed="false">
      <c r="A1253" s="4" t="n">
        <v>43488</v>
      </c>
      <c r="B1253" s="32" t="s">
        <v>48</v>
      </c>
      <c r="C1253" s="32" t="s">
        <v>15</v>
      </c>
      <c r="D1253" s="32" t="s">
        <v>43</v>
      </c>
      <c r="E1253" s="18" t="s">
        <v>109</v>
      </c>
      <c r="F1253" s="32" t="s">
        <v>3170</v>
      </c>
      <c r="G1253" s="32" t="n">
        <v>5930988716851</v>
      </c>
      <c r="H1253" s="32" t="s">
        <v>3171</v>
      </c>
      <c r="I1253" s="1"/>
      <c r="J1253" s="1"/>
      <c r="K1253" s="1" t="s">
        <v>21</v>
      </c>
      <c r="L1253" s="1"/>
      <c r="M1253" s="1"/>
      <c r="N1253" s="1"/>
      <c r="O1253" s="1"/>
      <c r="P1253" s="6" t="s">
        <v>58</v>
      </c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customFormat="false" ht="21.75" hidden="false" customHeight="true" outlineLevel="0" collapsed="false">
      <c r="A1254" s="4" t="n">
        <v>43488</v>
      </c>
      <c r="B1254" s="32" t="s">
        <v>48</v>
      </c>
      <c r="C1254" s="32" t="s">
        <v>15</v>
      </c>
      <c r="D1254" s="32" t="s">
        <v>43</v>
      </c>
      <c r="E1254" s="18" t="s">
        <v>109</v>
      </c>
      <c r="F1254" s="32" t="s">
        <v>3172</v>
      </c>
      <c r="G1254" s="32" t="n">
        <v>593981173941</v>
      </c>
      <c r="H1254" s="32" t="s">
        <v>3173</v>
      </c>
      <c r="I1254" s="1"/>
      <c r="J1254" s="1"/>
      <c r="K1254" s="1" t="s">
        <v>21</v>
      </c>
      <c r="L1254" s="1"/>
      <c r="M1254" s="1"/>
      <c r="N1254" s="1"/>
      <c r="O1254" s="1"/>
      <c r="P1254" s="6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customFormat="false" ht="21.75" hidden="false" customHeight="true" outlineLevel="0" collapsed="false">
      <c r="A1255" s="4" t="n">
        <v>43488</v>
      </c>
      <c r="B1255" s="32" t="s">
        <v>48</v>
      </c>
      <c r="C1255" s="32" t="s">
        <v>15</v>
      </c>
      <c r="D1255" s="32" t="s">
        <v>43</v>
      </c>
      <c r="E1255" s="18" t="s">
        <v>109</v>
      </c>
      <c r="F1255" s="32" t="s">
        <v>3174</v>
      </c>
      <c r="G1255" s="32" t="n">
        <v>959192686</v>
      </c>
      <c r="H1255" s="32" t="s">
        <v>3175</v>
      </c>
      <c r="I1255" s="1"/>
      <c r="J1255" s="1"/>
      <c r="K1255" s="1" t="s">
        <v>678</v>
      </c>
      <c r="L1255" s="1"/>
      <c r="M1255" s="1"/>
      <c r="N1255" s="1"/>
      <c r="O1255" s="1"/>
      <c r="P1255" s="6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customFormat="false" ht="21.75" hidden="false" customHeight="true" outlineLevel="0" collapsed="false">
      <c r="A1256" s="4" t="n">
        <v>43488</v>
      </c>
      <c r="B1256" s="32" t="s">
        <v>48</v>
      </c>
      <c r="C1256" s="32" t="s">
        <v>15</v>
      </c>
      <c r="D1256" s="32" t="s">
        <v>43</v>
      </c>
      <c r="E1256" s="32" t="s">
        <v>109</v>
      </c>
      <c r="F1256" s="32" t="s">
        <v>3176</v>
      </c>
      <c r="G1256" s="32" t="n">
        <v>987031780</v>
      </c>
      <c r="H1256" s="32" t="s">
        <v>3177</v>
      </c>
      <c r="I1256" s="1"/>
      <c r="J1256" s="1"/>
      <c r="K1256" s="1" t="s">
        <v>21</v>
      </c>
      <c r="L1256" s="1"/>
      <c r="M1256" s="1"/>
      <c r="N1256" s="1"/>
      <c r="O1256" s="1"/>
      <c r="P1256" s="6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customFormat="false" ht="21.75" hidden="false" customHeight="true" outlineLevel="0" collapsed="false">
      <c r="A1257" s="4" t="n">
        <v>43488</v>
      </c>
      <c r="B1257" s="32" t="s">
        <v>48</v>
      </c>
      <c r="C1257" s="32" t="s">
        <v>15</v>
      </c>
      <c r="D1257" s="32" t="s">
        <v>43</v>
      </c>
      <c r="E1257" s="32" t="s">
        <v>109</v>
      </c>
      <c r="F1257" s="32" t="s">
        <v>3178</v>
      </c>
      <c r="G1257" s="32" t="n">
        <v>967765310</v>
      </c>
      <c r="H1257" s="32"/>
      <c r="I1257" s="1"/>
      <c r="J1257" s="1"/>
      <c r="K1257" s="1" t="s">
        <v>21</v>
      </c>
      <c r="L1257" s="1"/>
      <c r="M1257" s="1"/>
      <c r="N1257" s="1"/>
      <c r="O1257" s="1"/>
      <c r="P1257" s="6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customFormat="false" ht="21.75" hidden="false" customHeight="true" outlineLevel="0" collapsed="false">
      <c r="A1258" s="4" t="n">
        <v>43488</v>
      </c>
      <c r="B1258" s="32" t="s">
        <v>48</v>
      </c>
      <c r="C1258" s="32" t="s">
        <v>15</v>
      </c>
      <c r="D1258" s="32" t="s">
        <v>43</v>
      </c>
      <c r="E1258" s="32" t="s">
        <v>109</v>
      </c>
      <c r="F1258" s="32" t="s">
        <v>3179</v>
      </c>
      <c r="G1258" s="32" t="n">
        <v>999681948</v>
      </c>
      <c r="H1258" s="32" t="s">
        <v>3180</v>
      </c>
      <c r="I1258" s="1"/>
      <c r="J1258" s="1"/>
      <c r="K1258" s="1" t="s">
        <v>1188</v>
      </c>
      <c r="L1258" s="1"/>
      <c r="M1258" s="1"/>
      <c r="N1258" s="1"/>
      <c r="O1258" s="1"/>
      <c r="P1258" s="6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customFormat="false" ht="21.75" hidden="false" customHeight="true" outlineLevel="0" collapsed="false">
      <c r="A1259" s="4" t="n">
        <v>43488</v>
      </c>
      <c r="B1259" s="32" t="s">
        <v>48</v>
      </c>
      <c r="C1259" s="32" t="s">
        <v>15</v>
      </c>
      <c r="D1259" s="32" t="s">
        <v>43</v>
      </c>
      <c r="E1259" s="32" t="s">
        <v>109</v>
      </c>
      <c r="F1259" s="32" t="s">
        <v>3181</v>
      </c>
      <c r="G1259" s="32" t="n">
        <v>997517765</v>
      </c>
      <c r="H1259" s="32" t="s">
        <v>3182</v>
      </c>
      <c r="I1259" s="1"/>
      <c r="J1259" s="1"/>
      <c r="K1259" s="1" t="s">
        <v>21</v>
      </c>
      <c r="L1259" s="1"/>
      <c r="M1259" s="1"/>
      <c r="N1259" s="1"/>
      <c r="O1259" s="1"/>
      <c r="P1259" s="6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customFormat="false" ht="21.75" hidden="false" customHeight="true" outlineLevel="0" collapsed="false">
      <c r="A1260" s="4" t="n">
        <v>43488</v>
      </c>
      <c r="B1260" s="32" t="s">
        <v>48</v>
      </c>
      <c r="C1260" s="32" t="s">
        <v>15</v>
      </c>
      <c r="D1260" s="32" t="s">
        <v>43</v>
      </c>
      <c r="E1260" s="32" t="s">
        <v>109</v>
      </c>
      <c r="F1260" s="32" t="s">
        <v>3183</v>
      </c>
      <c r="G1260" s="32" t="n">
        <v>969590649</v>
      </c>
      <c r="H1260" s="32" t="s">
        <v>3184</v>
      </c>
      <c r="I1260" s="1"/>
      <c r="J1260" s="1"/>
      <c r="K1260" s="1" t="s">
        <v>3185</v>
      </c>
      <c r="L1260" s="1"/>
      <c r="M1260" s="1"/>
      <c r="N1260" s="1"/>
      <c r="O1260" s="1"/>
      <c r="P1260" s="6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customFormat="false" ht="21.75" hidden="false" customHeight="true" outlineLevel="0" collapsed="false">
      <c r="A1261" s="4" t="n">
        <v>43488</v>
      </c>
      <c r="B1261" s="32" t="s">
        <v>48</v>
      </c>
      <c r="C1261" s="32" t="s">
        <v>15</v>
      </c>
      <c r="D1261" s="32" t="s">
        <v>43</v>
      </c>
      <c r="E1261" s="32" t="s">
        <v>109</v>
      </c>
      <c r="F1261" s="32" t="s">
        <v>3186</v>
      </c>
      <c r="G1261" s="32" t="n">
        <v>982531420</v>
      </c>
      <c r="H1261" s="32" t="s">
        <v>3187</v>
      </c>
      <c r="I1261" s="1"/>
      <c r="J1261" s="1"/>
      <c r="K1261" s="1" t="s">
        <v>21</v>
      </c>
      <c r="L1261" s="1"/>
      <c r="M1261" s="1"/>
      <c r="N1261" s="1"/>
      <c r="O1261" s="1"/>
      <c r="P1261" s="6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customFormat="false" ht="21.75" hidden="false" customHeight="true" outlineLevel="0" collapsed="false">
      <c r="A1262" s="4" t="n">
        <v>43488</v>
      </c>
      <c r="B1262" s="32" t="s">
        <v>48</v>
      </c>
      <c r="C1262" s="32" t="s">
        <v>15</v>
      </c>
      <c r="D1262" s="32" t="s">
        <v>43</v>
      </c>
      <c r="E1262" s="32" t="s">
        <v>109</v>
      </c>
      <c r="F1262" s="32" t="s">
        <v>3188</v>
      </c>
      <c r="G1262" s="36" t="n">
        <v>994329393</v>
      </c>
      <c r="H1262" s="32" t="s">
        <v>3189</v>
      </c>
      <c r="I1262" s="1"/>
      <c r="J1262" s="1"/>
      <c r="K1262" s="1" t="s">
        <v>21</v>
      </c>
      <c r="L1262" s="1"/>
      <c r="M1262" s="1"/>
      <c r="N1262" s="1"/>
      <c r="O1262" s="1"/>
      <c r="P1262" s="6" t="s">
        <v>3190</v>
      </c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customFormat="false" ht="21.75" hidden="false" customHeight="true" outlineLevel="0" collapsed="false">
      <c r="A1263" s="4" t="n">
        <v>43488</v>
      </c>
      <c r="B1263" s="32" t="s">
        <v>532</v>
      </c>
      <c r="C1263" s="32" t="s">
        <v>15</v>
      </c>
      <c r="D1263" s="32" t="s">
        <v>43</v>
      </c>
      <c r="E1263" s="32" t="s">
        <v>109</v>
      </c>
      <c r="F1263" s="32" t="s">
        <v>3191</v>
      </c>
      <c r="G1263" s="32" t="n">
        <v>987413600</v>
      </c>
      <c r="H1263" s="32" t="s">
        <v>3192</v>
      </c>
      <c r="I1263" s="1"/>
      <c r="J1263" s="1"/>
      <c r="K1263" s="1" t="s">
        <v>21</v>
      </c>
      <c r="L1263" s="1"/>
      <c r="M1263" s="1"/>
      <c r="N1263" s="1"/>
      <c r="O1263" s="1"/>
      <c r="P1263" s="6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customFormat="false" ht="21.75" hidden="false" customHeight="true" outlineLevel="0" collapsed="false">
      <c r="A1264" s="4" t="n">
        <v>43488</v>
      </c>
      <c r="B1264" s="32" t="s">
        <v>532</v>
      </c>
      <c r="C1264" s="32" t="s">
        <v>15</v>
      </c>
      <c r="D1264" s="32" t="s">
        <v>43</v>
      </c>
      <c r="E1264" s="18" t="s">
        <v>109</v>
      </c>
      <c r="F1264" s="32" t="s">
        <v>3193</v>
      </c>
      <c r="G1264" s="32" t="n">
        <v>5930990866954</v>
      </c>
      <c r="H1264" s="32" t="s">
        <v>3194</v>
      </c>
      <c r="I1264" s="1"/>
      <c r="J1264" s="1"/>
      <c r="K1264" s="1" t="s">
        <v>21</v>
      </c>
      <c r="L1264" s="1"/>
      <c r="M1264" s="1"/>
      <c r="N1264" s="1"/>
      <c r="O1264" s="1"/>
      <c r="P1264" s="6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customFormat="false" ht="21.75" hidden="false" customHeight="true" outlineLevel="0" collapsed="false">
      <c r="A1265" s="4" t="n">
        <v>43488</v>
      </c>
      <c r="B1265" s="32" t="s">
        <v>532</v>
      </c>
      <c r="C1265" s="32" t="s">
        <v>15</v>
      </c>
      <c r="D1265" s="32" t="s">
        <v>43</v>
      </c>
      <c r="E1265" s="18" t="s">
        <v>109</v>
      </c>
      <c r="F1265" s="32" t="s">
        <v>3195</v>
      </c>
      <c r="G1265" s="32" t="n">
        <v>593979705008</v>
      </c>
      <c r="H1265" s="32" t="s">
        <v>3196</v>
      </c>
      <c r="I1265" s="1"/>
      <c r="J1265" s="1"/>
      <c r="K1265" s="1" t="s">
        <v>21</v>
      </c>
      <c r="L1265" s="1"/>
      <c r="M1265" s="1"/>
      <c r="N1265" s="1"/>
      <c r="O1265" s="1"/>
      <c r="P1265" s="6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customFormat="false" ht="21.75" hidden="false" customHeight="true" outlineLevel="0" collapsed="false">
      <c r="A1266" s="4" t="n">
        <v>43488</v>
      </c>
      <c r="B1266" s="32" t="s">
        <v>532</v>
      </c>
      <c r="C1266" s="32" t="s">
        <v>15</v>
      </c>
      <c r="D1266" s="32" t="s">
        <v>43</v>
      </c>
      <c r="E1266" s="18" t="s">
        <v>109</v>
      </c>
      <c r="F1266" s="32" t="s">
        <v>3197</v>
      </c>
      <c r="G1266" s="32" t="n">
        <v>593986731393</v>
      </c>
      <c r="H1266" s="32" t="s">
        <v>3198</v>
      </c>
      <c r="I1266" s="1"/>
      <c r="J1266" s="1"/>
      <c r="K1266" s="1" t="s">
        <v>21</v>
      </c>
      <c r="L1266" s="1"/>
      <c r="M1266" s="1"/>
      <c r="N1266" s="1"/>
      <c r="O1266" s="1"/>
      <c r="P1266" s="6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customFormat="false" ht="21.75" hidden="false" customHeight="true" outlineLevel="0" collapsed="false">
      <c r="A1267" s="4" t="n">
        <v>43488</v>
      </c>
      <c r="B1267" s="32" t="s">
        <v>532</v>
      </c>
      <c r="C1267" s="32" t="s">
        <v>15</v>
      </c>
      <c r="D1267" s="32" t="s">
        <v>43</v>
      </c>
      <c r="E1267" s="18" t="s">
        <v>109</v>
      </c>
      <c r="F1267" s="32" t="s">
        <v>3199</v>
      </c>
      <c r="G1267" s="37" t="n">
        <v>593990000000</v>
      </c>
      <c r="H1267" s="32" t="s">
        <v>3200</v>
      </c>
      <c r="I1267" s="1"/>
      <c r="J1267" s="1"/>
      <c r="K1267" s="1" t="s">
        <v>3201</v>
      </c>
      <c r="L1267" s="1"/>
      <c r="M1267" s="1"/>
      <c r="N1267" s="1"/>
      <c r="O1267" s="1"/>
      <c r="P1267" s="6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customFormat="false" ht="21.75" hidden="false" customHeight="true" outlineLevel="0" collapsed="false">
      <c r="A1268" s="4" t="n">
        <v>43488</v>
      </c>
      <c r="B1268" s="32" t="s">
        <v>532</v>
      </c>
      <c r="C1268" s="32" t="s">
        <v>15</v>
      </c>
      <c r="D1268" s="32" t="s">
        <v>43</v>
      </c>
      <c r="E1268" s="18" t="s">
        <v>109</v>
      </c>
      <c r="F1268" s="32" t="s">
        <v>3202</v>
      </c>
      <c r="G1268" s="32" t="n">
        <v>593969696492</v>
      </c>
      <c r="H1268" s="32" t="s">
        <v>3203</v>
      </c>
      <c r="I1268" s="1"/>
      <c r="J1268" s="1"/>
      <c r="K1268" s="1" t="s">
        <v>3204</v>
      </c>
      <c r="L1268" s="1"/>
      <c r="M1268" s="1"/>
      <c r="N1268" s="1"/>
      <c r="O1268" s="1"/>
      <c r="P1268" s="6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customFormat="false" ht="21.75" hidden="false" customHeight="true" outlineLevel="0" collapsed="false">
      <c r="A1269" s="4" t="n">
        <v>43488</v>
      </c>
      <c r="B1269" s="32" t="s">
        <v>127</v>
      </c>
      <c r="C1269" s="32" t="s">
        <v>15</v>
      </c>
      <c r="D1269" s="32" t="s">
        <v>43</v>
      </c>
      <c r="E1269" s="18" t="s">
        <v>883</v>
      </c>
      <c r="F1269" s="32" t="s">
        <v>3205</v>
      </c>
      <c r="G1269" s="32" t="n">
        <v>593959043700</v>
      </c>
      <c r="H1269" s="32" t="s">
        <v>3206</v>
      </c>
      <c r="I1269" s="1"/>
      <c r="J1269" s="1"/>
      <c r="K1269" s="1" t="s">
        <v>1286</v>
      </c>
      <c r="L1269" s="1"/>
      <c r="M1269" s="1"/>
      <c r="N1269" s="1"/>
      <c r="O1269" s="1"/>
      <c r="P1269" s="6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customFormat="false" ht="21.75" hidden="false" customHeight="true" outlineLevel="0" collapsed="false">
      <c r="A1270" s="4" t="n">
        <v>43488</v>
      </c>
      <c r="B1270" s="32" t="s">
        <v>127</v>
      </c>
      <c r="C1270" s="32" t="s">
        <v>15</v>
      </c>
      <c r="D1270" s="32" t="s">
        <v>43</v>
      </c>
      <c r="E1270" s="18" t="s">
        <v>883</v>
      </c>
      <c r="F1270" s="32" t="s">
        <v>3207</v>
      </c>
      <c r="G1270" s="32" t="n">
        <v>593980615386</v>
      </c>
      <c r="H1270" s="32" t="s">
        <v>3208</v>
      </c>
      <c r="I1270" s="1"/>
      <c r="J1270" s="1"/>
      <c r="K1270" s="1" t="s">
        <v>21</v>
      </c>
      <c r="L1270" s="1"/>
      <c r="M1270" s="1"/>
      <c r="N1270" s="1"/>
      <c r="O1270" s="1"/>
      <c r="P1270" s="6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customFormat="false" ht="21.75" hidden="false" customHeight="true" outlineLevel="0" collapsed="false">
      <c r="A1271" s="4" t="n">
        <v>43488</v>
      </c>
      <c r="B1271" s="32" t="s">
        <v>127</v>
      </c>
      <c r="C1271" s="32" t="s">
        <v>15</v>
      </c>
      <c r="D1271" s="32" t="s">
        <v>43</v>
      </c>
      <c r="E1271" s="18" t="s">
        <v>883</v>
      </c>
      <c r="F1271" s="32" t="s">
        <v>3209</v>
      </c>
      <c r="G1271" s="32" t="n">
        <v>593967032585</v>
      </c>
      <c r="H1271" s="32" t="s">
        <v>3210</v>
      </c>
      <c r="I1271" s="1"/>
      <c r="J1271" s="1"/>
      <c r="K1271" s="1" t="s">
        <v>21</v>
      </c>
      <c r="L1271" s="1"/>
      <c r="M1271" s="1"/>
      <c r="N1271" s="1"/>
      <c r="O1271" s="1"/>
      <c r="P1271" s="6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customFormat="false" ht="21.75" hidden="false" customHeight="true" outlineLevel="0" collapsed="false">
      <c r="A1272" s="4" t="n">
        <v>43488</v>
      </c>
      <c r="B1272" s="32" t="s">
        <v>127</v>
      </c>
      <c r="C1272" s="32" t="s">
        <v>15</v>
      </c>
      <c r="D1272" s="32" t="s">
        <v>43</v>
      </c>
      <c r="E1272" s="32" t="s">
        <v>44</v>
      </c>
      <c r="F1272" s="32" t="s">
        <v>3211</v>
      </c>
      <c r="G1272" s="32" t="n">
        <v>593994805974</v>
      </c>
      <c r="H1272" s="38"/>
      <c r="I1272" s="34"/>
      <c r="J1272" s="1"/>
      <c r="K1272" s="1" t="s">
        <v>3212</v>
      </c>
      <c r="L1272" s="1"/>
      <c r="M1272" s="1"/>
      <c r="N1272" s="1"/>
      <c r="O1272" s="1"/>
      <c r="P1272" s="6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customFormat="false" ht="21.75" hidden="false" customHeight="true" outlineLevel="0" collapsed="false">
      <c r="A1273" s="4" t="n">
        <v>43488</v>
      </c>
      <c r="B1273" s="32" t="s">
        <v>127</v>
      </c>
      <c r="C1273" s="32" t="s">
        <v>15</v>
      </c>
      <c r="D1273" s="32" t="s">
        <v>43</v>
      </c>
      <c r="E1273" s="32" t="s">
        <v>44</v>
      </c>
      <c r="F1273" s="32" t="s">
        <v>3213</v>
      </c>
      <c r="G1273" s="32" t="n">
        <v>5930992690412</v>
      </c>
      <c r="H1273" s="32" t="s">
        <v>3214</v>
      </c>
      <c r="I1273" s="34"/>
      <c r="J1273" s="1"/>
      <c r="K1273" s="1" t="s">
        <v>21</v>
      </c>
      <c r="L1273" s="1"/>
      <c r="M1273" s="1"/>
      <c r="N1273" s="1"/>
      <c r="O1273" s="1"/>
      <c r="P1273" s="6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customFormat="false" ht="21.75" hidden="false" customHeight="true" outlineLevel="0" collapsed="false">
      <c r="A1274" s="4" t="n">
        <v>43488</v>
      </c>
      <c r="B1274" s="32" t="s">
        <v>127</v>
      </c>
      <c r="C1274" s="32" t="s">
        <v>15</v>
      </c>
      <c r="D1274" s="32" t="s">
        <v>43</v>
      </c>
      <c r="E1274" s="18" t="s">
        <v>109</v>
      </c>
      <c r="F1274" s="32" t="s">
        <v>3215</v>
      </c>
      <c r="G1274" s="32" t="n">
        <v>593983416910</v>
      </c>
      <c r="H1274" s="32" t="s">
        <v>3216</v>
      </c>
      <c r="I1274" s="1"/>
      <c r="J1274" s="1"/>
      <c r="K1274" s="1" t="s">
        <v>21</v>
      </c>
      <c r="L1274" s="1"/>
      <c r="M1274" s="1"/>
      <c r="N1274" s="1"/>
      <c r="O1274" s="1"/>
      <c r="P1274" s="6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customFormat="false" ht="21.75" hidden="false" customHeight="true" outlineLevel="0" collapsed="false">
      <c r="A1275" s="4" t="n">
        <v>43488</v>
      </c>
      <c r="B1275" s="32" t="s">
        <v>127</v>
      </c>
      <c r="C1275" s="32" t="s">
        <v>15</v>
      </c>
      <c r="D1275" s="32" t="s">
        <v>43</v>
      </c>
      <c r="E1275" s="18" t="s">
        <v>109</v>
      </c>
      <c r="F1275" s="32" t="s">
        <v>3217</v>
      </c>
      <c r="G1275" s="32" t="n">
        <v>593987928299</v>
      </c>
      <c r="H1275" s="32" t="s">
        <v>3218</v>
      </c>
      <c r="I1275" s="1"/>
      <c r="J1275" s="1"/>
      <c r="K1275" s="1" t="s">
        <v>21</v>
      </c>
      <c r="L1275" s="1"/>
      <c r="M1275" s="1"/>
      <c r="N1275" s="1"/>
      <c r="O1275" s="1"/>
      <c r="P1275" s="6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customFormat="false" ht="21.75" hidden="false" customHeight="true" outlineLevel="0" collapsed="false">
      <c r="A1276" s="4" t="n">
        <v>43488</v>
      </c>
      <c r="B1276" s="32" t="s">
        <v>127</v>
      </c>
      <c r="C1276" s="32" t="s">
        <v>15</v>
      </c>
      <c r="D1276" s="32" t="s">
        <v>43</v>
      </c>
      <c r="E1276" s="18" t="s">
        <v>109</v>
      </c>
      <c r="F1276" s="32" t="s">
        <v>3219</v>
      </c>
      <c r="G1276" s="32" t="n">
        <v>593981323579</v>
      </c>
      <c r="H1276" s="32" t="s">
        <v>3220</v>
      </c>
      <c r="I1276" s="1"/>
      <c r="J1276" s="1"/>
      <c r="K1276" s="1" t="s">
        <v>21</v>
      </c>
      <c r="L1276" s="1"/>
      <c r="M1276" s="1"/>
      <c r="N1276" s="1"/>
      <c r="O1276" s="1"/>
      <c r="P1276" s="6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customFormat="false" ht="21.75" hidden="false" customHeight="true" outlineLevel="0" collapsed="false">
      <c r="A1277" s="4" t="n">
        <v>43488</v>
      </c>
      <c r="B1277" s="32" t="s">
        <v>127</v>
      </c>
      <c r="C1277" s="32" t="s">
        <v>15</v>
      </c>
      <c r="D1277" s="32" t="s">
        <v>43</v>
      </c>
      <c r="E1277" s="32" t="s">
        <v>109</v>
      </c>
      <c r="F1277" s="32" t="s">
        <v>3221</v>
      </c>
      <c r="G1277" s="32" t="n">
        <v>986006449</v>
      </c>
      <c r="H1277" s="38" t="s">
        <v>3222</v>
      </c>
      <c r="I1277" s="1"/>
      <c r="J1277" s="1"/>
      <c r="K1277" s="1" t="s">
        <v>3223</v>
      </c>
      <c r="L1277" s="1"/>
      <c r="M1277" s="1"/>
      <c r="N1277" s="1"/>
      <c r="O1277" s="1"/>
      <c r="P1277" s="6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customFormat="false" ht="21.75" hidden="false" customHeight="true" outlineLevel="0" collapsed="false">
      <c r="A1278" s="4" t="n">
        <v>43488</v>
      </c>
      <c r="B1278" s="32" t="s">
        <v>1114</v>
      </c>
      <c r="C1278" s="32" t="s">
        <v>15</v>
      </c>
      <c r="D1278" s="32" t="s">
        <v>43</v>
      </c>
      <c r="E1278" s="18" t="s">
        <v>883</v>
      </c>
      <c r="F1278" s="32" t="s">
        <v>3224</v>
      </c>
      <c r="G1278" s="32" t="n">
        <v>5930994870975</v>
      </c>
      <c r="H1278" s="32" t="s">
        <v>3225</v>
      </c>
      <c r="I1278" s="1"/>
      <c r="J1278" s="1"/>
      <c r="K1278" s="1" t="s">
        <v>3108</v>
      </c>
      <c r="L1278" s="1"/>
      <c r="M1278" s="1"/>
      <c r="N1278" s="1"/>
      <c r="O1278" s="1"/>
      <c r="P1278" s="6" t="s">
        <v>751</v>
      </c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customFormat="false" ht="21.75" hidden="false" customHeight="true" outlineLevel="0" collapsed="false">
      <c r="A1279" s="4" t="n">
        <v>43488</v>
      </c>
      <c r="B1279" s="32" t="s">
        <v>1114</v>
      </c>
      <c r="C1279" s="32" t="s">
        <v>15</v>
      </c>
      <c r="D1279" s="32" t="s">
        <v>43</v>
      </c>
      <c r="E1279" s="18" t="s">
        <v>883</v>
      </c>
      <c r="F1279" s="32" t="s">
        <v>3226</v>
      </c>
      <c r="G1279" s="32" t="n">
        <v>5930969192878</v>
      </c>
      <c r="H1279" s="32" t="s">
        <v>3227</v>
      </c>
      <c r="I1279" s="1"/>
      <c r="J1279" s="1"/>
      <c r="K1279" s="1" t="s">
        <v>21</v>
      </c>
      <c r="L1279" s="1"/>
      <c r="M1279" s="1"/>
      <c r="N1279" s="1"/>
      <c r="O1279" s="1"/>
      <c r="P1279" s="6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customFormat="false" ht="21.75" hidden="false" customHeight="true" outlineLevel="0" collapsed="false">
      <c r="A1280" s="4" t="n">
        <v>43488</v>
      </c>
      <c r="B1280" s="32" t="s">
        <v>1114</v>
      </c>
      <c r="C1280" s="32" t="s">
        <v>15</v>
      </c>
      <c r="D1280" s="32" t="s">
        <v>43</v>
      </c>
      <c r="E1280" s="18" t="s">
        <v>883</v>
      </c>
      <c r="F1280" s="32" t="s">
        <v>3228</v>
      </c>
      <c r="G1280" s="32" t="n">
        <v>593979964643</v>
      </c>
      <c r="H1280" s="32" t="s">
        <v>3229</v>
      </c>
      <c r="I1280" s="1"/>
      <c r="J1280" s="1"/>
      <c r="K1280" s="1" t="s">
        <v>673</v>
      </c>
      <c r="L1280" s="1"/>
      <c r="M1280" s="1"/>
      <c r="N1280" s="1"/>
      <c r="O1280" s="1"/>
      <c r="P1280" s="6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customFormat="false" ht="21.75" hidden="false" customHeight="true" outlineLevel="0" collapsed="false">
      <c r="A1281" s="4" t="n">
        <v>43488</v>
      </c>
      <c r="B1281" s="32" t="s">
        <v>1114</v>
      </c>
      <c r="C1281" s="32" t="s">
        <v>26</v>
      </c>
      <c r="D1281" s="32" t="s">
        <v>43</v>
      </c>
      <c r="E1281" s="18" t="s">
        <v>109</v>
      </c>
      <c r="F1281" s="32" t="s">
        <v>3230</v>
      </c>
      <c r="G1281" s="32" t="n">
        <v>5930988662807</v>
      </c>
      <c r="H1281" s="32" t="s">
        <v>3231</v>
      </c>
      <c r="I1281" s="1"/>
      <c r="J1281" s="1"/>
      <c r="K1281" s="1" t="s">
        <v>21</v>
      </c>
      <c r="L1281" s="1"/>
      <c r="M1281" s="1"/>
      <c r="N1281" s="1"/>
      <c r="O1281" s="1"/>
      <c r="P1281" s="6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customFormat="false" ht="21.75" hidden="false" customHeight="true" outlineLevel="0" collapsed="false">
      <c r="A1282" s="4" t="n">
        <v>43488</v>
      </c>
      <c r="B1282" s="32" t="s">
        <v>1114</v>
      </c>
      <c r="C1282" s="32" t="s">
        <v>15</v>
      </c>
      <c r="D1282" s="32" t="s">
        <v>43</v>
      </c>
      <c r="E1282" s="18" t="s">
        <v>109</v>
      </c>
      <c r="F1282" s="32" t="s">
        <v>3232</v>
      </c>
      <c r="G1282" s="32" t="n">
        <v>593969599346</v>
      </c>
      <c r="H1282" s="32" t="s">
        <v>3233</v>
      </c>
      <c r="I1282" s="1"/>
      <c r="J1282" s="1"/>
      <c r="K1282" s="1" t="s">
        <v>3234</v>
      </c>
      <c r="L1282" s="1"/>
      <c r="M1282" s="1"/>
      <c r="N1282" s="1"/>
      <c r="O1282" s="1"/>
      <c r="P1282" s="6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customFormat="false" ht="21.75" hidden="false" customHeight="true" outlineLevel="0" collapsed="false">
      <c r="A1283" s="4" t="n">
        <v>43488</v>
      </c>
      <c r="B1283" s="32" t="s">
        <v>1114</v>
      </c>
      <c r="C1283" s="32" t="s">
        <v>15</v>
      </c>
      <c r="D1283" s="32" t="s">
        <v>43</v>
      </c>
      <c r="E1283" s="18" t="s">
        <v>109</v>
      </c>
      <c r="F1283" s="32" t="s">
        <v>3235</v>
      </c>
      <c r="G1283" s="32" t="n">
        <v>593996104147</v>
      </c>
      <c r="H1283" s="32" t="s">
        <v>3236</v>
      </c>
      <c r="I1283" s="1"/>
      <c r="J1283" s="1"/>
      <c r="K1283" s="1" t="s">
        <v>1766</v>
      </c>
      <c r="L1283" s="1"/>
      <c r="M1283" s="1"/>
      <c r="N1283" s="1"/>
      <c r="O1283" s="1"/>
      <c r="P1283" s="6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customFormat="false" ht="21.75" hidden="false" customHeight="true" outlineLevel="0" collapsed="false">
      <c r="A1284" s="4" t="n">
        <v>43488</v>
      </c>
      <c r="B1284" s="32" t="s">
        <v>1114</v>
      </c>
      <c r="C1284" s="32" t="s">
        <v>15</v>
      </c>
      <c r="D1284" s="32" t="s">
        <v>43</v>
      </c>
      <c r="E1284" s="32" t="s">
        <v>109</v>
      </c>
      <c r="F1284" s="32" t="s">
        <v>2979</v>
      </c>
      <c r="G1284" s="32" t="n">
        <v>961194130</v>
      </c>
      <c r="H1284" s="32" t="s">
        <v>2980</v>
      </c>
      <c r="I1284" s="1"/>
      <c r="J1284" s="1"/>
      <c r="K1284" s="1" t="s">
        <v>65</v>
      </c>
      <c r="L1284" s="1"/>
      <c r="M1284" s="1"/>
      <c r="N1284" s="1"/>
      <c r="O1284" s="1"/>
      <c r="P1284" s="6" t="s">
        <v>3126</v>
      </c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customFormat="false" ht="21.75" hidden="false" customHeight="true" outlineLevel="0" collapsed="false">
      <c r="A1285" s="4" t="n">
        <v>43488</v>
      </c>
      <c r="B1285" s="32" t="s">
        <v>1114</v>
      </c>
      <c r="C1285" s="32" t="s">
        <v>15</v>
      </c>
      <c r="D1285" s="32" t="s">
        <v>43</v>
      </c>
      <c r="E1285" s="32" t="s">
        <v>109</v>
      </c>
      <c r="F1285" s="32" t="s">
        <v>3237</v>
      </c>
      <c r="G1285" s="32" t="n">
        <v>982990691</v>
      </c>
      <c r="H1285" s="32" t="s">
        <v>3238</v>
      </c>
      <c r="I1285" s="1"/>
      <c r="J1285" s="1"/>
      <c r="K1285" s="1" t="s">
        <v>21</v>
      </c>
      <c r="L1285" s="1"/>
      <c r="M1285" s="1"/>
      <c r="N1285" s="1"/>
      <c r="O1285" s="1"/>
      <c r="P1285" s="6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customFormat="false" ht="21.75" hidden="false" customHeight="true" outlineLevel="0" collapsed="false">
      <c r="A1286" s="4" t="n">
        <v>43488</v>
      </c>
      <c r="B1286" s="32" t="s">
        <v>1114</v>
      </c>
      <c r="C1286" s="32" t="s">
        <v>26</v>
      </c>
      <c r="D1286" s="32" t="s">
        <v>43</v>
      </c>
      <c r="E1286" s="32" t="s">
        <v>109</v>
      </c>
      <c r="F1286" s="32" t="s">
        <v>3239</v>
      </c>
      <c r="G1286" s="32" t="n">
        <v>961231215</v>
      </c>
      <c r="H1286" s="32" t="s">
        <v>3240</v>
      </c>
      <c r="I1286" s="1"/>
      <c r="J1286" s="1"/>
      <c r="K1286" s="1" t="s">
        <v>3241</v>
      </c>
      <c r="L1286" s="1"/>
      <c r="M1286" s="1"/>
      <c r="N1286" s="1"/>
      <c r="O1286" s="1"/>
      <c r="P1286" s="6" t="s">
        <v>747</v>
      </c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customFormat="false" ht="21.75" hidden="false" customHeight="true" outlineLevel="0" collapsed="false">
      <c r="A1287" s="4" t="n">
        <v>43488</v>
      </c>
      <c r="B1287" s="32" t="s">
        <v>1114</v>
      </c>
      <c r="C1287" s="32" t="s">
        <v>26</v>
      </c>
      <c r="D1287" s="32" t="s">
        <v>43</v>
      </c>
      <c r="E1287" s="32" t="s">
        <v>109</v>
      </c>
      <c r="F1287" s="32" t="s">
        <v>3242</v>
      </c>
      <c r="G1287" s="32" t="n">
        <v>991364913</v>
      </c>
      <c r="H1287" s="32" t="s">
        <v>3243</v>
      </c>
      <c r="I1287" s="1"/>
      <c r="J1287" s="1"/>
      <c r="K1287" s="1" t="s">
        <v>21</v>
      </c>
      <c r="L1287" s="1"/>
      <c r="M1287" s="1"/>
      <c r="N1287" s="1"/>
      <c r="O1287" s="1"/>
      <c r="P1287" s="6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customFormat="false" ht="21.75" hidden="false" customHeight="true" outlineLevel="0" collapsed="false">
      <c r="A1288" s="4" t="n">
        <v>43488</v>
      </c>
      <c r="B1288" s="32" t="s">
        <v>415</v>
      </c>
      <c r="C1288" s="32" t="s">
        <v>15</v>
      </c>
      <c r="D1288" s="32" t="s">
        <v>43</v>
      </c>
      <c r="E1288" s="32" t="s">
        <v>44</v>
      </c>
      <c r="F1288" s="32" t="s">
        <v>3244</v>
      </c>
      <c r="G1288" s="32" t="n">
        <v>593992768378</v>
      </c>
      <c r="H1288" s="32" t="s">
        <v>3245</v>
      </c>
      <c r="I1288" s="34"/>
      <c r="J1288" s="1"/>
      <c r="K1288" s="1" t="s">
        <v>3246</v>
      </c>
      <c r="L1288" s="1"/>
      <c r="M1288" s="1"/>
      <c r="N1288" s="1"/>
      <c r="O1288" s="1"/>
      <c r="P1288" s="6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customFormat="false" ht="21.75" hidden="false" customHeight="true" outlineLevel="0" collapsed="false">
      <c r="A1289" s="4" t="n">
        <v>43488</v>
      </c>
      <c r="B1289" s="32" t="s">
        <v>415</v>
      </c>
      <c r="C1289" s="32" t="s">
        <v>15</v>
      </c>
      <c r="D1289" s="32" t="s">
        <v>43</v>
      </c>
      <c r="E1289" s="32" t="s">
        <v>44</v>
      </c>
      <c r="F1289" s="32" t="s">
        <v>3247</v>
      </c>
      <c r="G1289" s="32" t="n">
        <v>593980087272</v>
      </c>
      <c r="H1289" s="32" t="s">
        <v>3248</v>
      </c>
      <c r="I1289" s="34"/>
      <c r="J1289" s="1"/>
      <c r="K1289" s="1" t="s">
        <v>3249</v>
      </c>
      <c r="L1289" s="1"/>
      <c r="M1289" s="1"/>
      <c r="N1289" s="1"/>
      <c r="O1289" s="1"/>
      <c r="P1289" s="6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customFormat="false" ht="21.75" hidden="false" customHeight="true" outlineLevel="0" collapsed="false">
      <c r="A1290" s="4" t="n">
        <v>43488</v>
      </c>
      <c r="B1290" s="32" t="s">
        <v>415</v>
      </c>
      <c r="C1290" s="32" t="s">
        <v>15</v>
      </c>
      <c r="D1290" s="32" t="s">
        <v>43</v>
      </c>
      <c r="E1290" s="18" t="s">
        <v>109</v>
      </c>
      <c r="F1290" s="32" t="s">
        <v>3250</v>
      </c>
      <c r="G1290" s="32" t="n">
        <v>593961688427</v>
      </c>
      <c r="H1290" s="32" t="s">
        <v>3251</v>
      </c>
      <c r="I1290" s="1"/>
      <c r="J1290" s="1"/>
      <c r="K1290" s="1" t="s">
        <v>21</v>
      </c>
      <c r="L1290" s="1"/>
      <c r="M1290" s="1"/>
      <c r="N1290" s="1"/>
      <c r="O1290" s="1"/>
      <c r="P1290" s="6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customFormat="false" ht="21.75" hidden="false" customHeight="true" outlineLevel="0" collapsed="false">
      <c r="A1291" s="4" t="n">
        <v>43488</v>
      </c>
      <c r="B1291" s="32" t="s">
        <v>415</v>
      </c>
      <c r="C1291" s="32" t="s">
        <v>15</v>
      </c>
      <c r="D1291" s="32" t="s">
        <v>43</v>
      </c>
      <c r="E1291" s="18" t="s">
        <v>109</v>
      </c>
      <c r="F1291" s="32" t="s">
        <v>3252</v>
      </c>
      <c r="G1291" s="32" t="n">
        <v>593997083580</v>
      </c>
      <c r="H1291" s="32" t="s">
        <v>3253</v>
      </c>
      <c r="I1291" s="1"/>
      <c r="J1291" s="1"/>
      <c r="K1291" s="1" t="s">
        <v>21</v>
      </c>
      <c r="L1291" s="1"/>
      <c r="M1291" s="1"/>
      <c r="N1291" s="1"/>
      <c r="O1291" s="1"/>
      <c r="P1291" s="6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customFormat="false" ht="21.75" hidden="false" customHeight="true" outlineLevel="0" collapsed="false">
      <c r="A1292" s="4" t="n">
        <v>43488</v>
      </c>
      <c r="B1292" s="32" t="s">
        <v>415</v>
      </c>
      <c r="C1292" s="32" t="s">
        <v>15</v>
      </c>
      <c r="D1292" s="32" t="s">
        <v>43</v>
      </c>
      <c r="E1292" s="18" t="s">
        <v>109</v>
      </c>
      <c r="F1292" s="32" t="s">
        <v>3254</v>
      </c>
      <c r="G1292" s="32" t="n">
        <v>593990373628</v>
      </c>
      <c r="H1292" s="32" t="s">
        <v>3255</v>
      </c>
      <c r="I1292" s="1"/>
      <c r="J1292" s="1"/>
      <c r="K1292" s="1" t="s">
        <v>21</v>
      </c>
      <c r="L1292" s="1"/>
      <c r="M1292" s="1"/>
      <c r="N1292" s="1"/>
      <c r="O1292" s="1"/>
      <c r="P1292" s="6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customFormat="false" ht="21.75" hidden="false" customHeight="true" outlineLevel="0" collapsed="false">
      <c r="A1293" s="4" t="n">
        <v>43488</v>
      </c>
      <c r="B1293" s="32" t="s">
        <v>352</v>
      </c>
      <c r="C1293" s="32" t="s">
        <v>15</v>
      </c>
      <c r="D1293" s="32" t="s">
        <v>43</v>
      </c>
      <c r="E1293" s="18" t="s">
        <v>883</v>
      </c>
      <c r="F1293" s="32" t="s">
        <v>3256</v>
      </c>
      <c r="G1293" s="32" t="n">
        <v>593992937864</v>
      </c>
      <c r="H1293" s="32" t="s">
        <v>3257</v>
      </c>
      <c r="I1293" s="1"/>
      <c r="J1293" s="1"/>
      <c r="K1293" s="1" t="s">
        <v>21</v>
      </c>
      <c r="L1293" s="1"/>
      <c r="M1293" s="1"/>
      <c r="N1293" s="1"/>
      <c r="O1293" s="1"/>
      <c r="P1293" s="1" t="s">
        <v>21</v>
      </c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customFormat="false" ht="21.75" hidden="false" customHeight="true" outlineLevel="0" collapsed="false">
      <c r="A1294" s="4" t="n">
        <v>43488</v>
      </c>
      <c r="B1294" s="32" t="s">
        <v>352</v>
      </c>
      <c r="C1294" s="32" t="s">
        <v>15</v>
      </c>
      <c r="D1294" s="32" t="s">
        <v>43</v>
      </c>
      <c r="E1294" s="18" t="s">
        <v>883</v>
      </c>
      <c r="F1294" s="32" t="s">
        <v>3258</v>
      </c>
      <c r="G1294" s="32" t="n">
        <v>5930987460344</v>
      </c>
      <c r="H1294" s="32" t="s">
        <v>3259</v>
      </c>
      <c r="I1294" s="1"/>
      <c r="J1294" s="1"/>
      <c r="K1294" s="1" t="s">
        <v>2235</v>
      </c>
      <c r="L1294" s="1"/>
      <c r="M1294" s="1"/>
      <c r="N1294" s="1"/>
      <c r="O1294" s="1"/>
      <c r="P1294" s="6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customFormat="false" ht="21.75" hidden="false" customHeight="true" outlineLevel="0" collapsed="false">
      <c r="A1295" s="4" t="n">
        <v>43488</v>
      </c>
      <c r="B1295" s="32" t="s">
        <v>352</v>
      </c>
      <c r="C1295" s="32" t="s">
        <v>15</v>
      </c>
      <c r="D1295" s="32" t="s">
        <v>43</v>
      </c>
      <c r="E1295" s="18" t="s">
        <v>109</v>
      </c>
      <c r="F1295" s="32" t="s">
        <v>3260</v>
      </c>
      <c r="G1295" s="32" t="n">
        <v>5930959127575</v>
      </c>
      <c r="H1295" s="32" t="s">
        <v>3261</v>
      </c>
      <c r="I1295" s="1"/>
      <c r="J1295" s="1"/>
      <c r="K1295" s="1" t="s">
        <v>58</v>
      </c>
      <c r="L1295" s="1"/>
      <c r="M1295" s="1"/>
      <c r="N1295" s="1"/>
      <c r="O1295" s="1"/>
      <c r="P1295" s="6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customFormat="false" ht="21.75" hidden="false" customHeight="true" outlineLevel="0" collapsed="false">
      <c r="A1296" s="4" t="n">
        <v>43488</v>
      </c>
      <c r="B1296" s="32" t="s">
        <v>352</v>
      </c>
      <c r="C1296" s="32" t="s">
        <v>15</v>
      </c>
      <c r="D1296" s="32" t="s">
        <v>43</v>
      </c>
      <c r="E1296" s="18" t="s">
        <v>109</v>
      </c>
      <c r="F1296" s="32" t="s">
        <v>3262</v>
      </c>
      <c r="G1296" s="32" t="n">
        <v>593999021767</v>
      </c>
      <c r="H1296" s="32" t="s">
        <v>3263</v>
      </c>
      <c r="I1296" s="1"/>
      <c r="J1296" s="1"/>
      <c r="K1296" s="1" t="s">
        <v>21</v>
      </c>
      <c r="L1296" s="1"/>
      <c r="M1296" s="1"/>
      <c r="N1296" s="1"/>
      <c r="O1296" s="1"/>
      <c r="P1296" s="6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customFormat="false" ht="21.75" hidden="false" customHeight="true" outlineLevel="0" collapsed="false">
      <c r="A1297" s="4" t="n">
        <v>43488</v>
      </c>
      <c r="B1297" s="32" t="s">
        <v>352</v>
      </c>
      <c r="C1297" s="32" t="s">
        <v>26</v>
      </c>
      <c r="D1297" s="32" t="s">
        <v>43</v>
      </c>
      <c r="E1297" s="18" t="s">
        <v>109</v>
      </c>
      <c r="F1297" s="32" t="s">
        <v>3264</v>
      </c>
      <c r="G1297" s="32" t="n">
        <v>593989707604</v>
      </c>
      <c r="H1297" s="32" t="s">
        <v>3265</v>
      </c>
      <c r="I1297" s="1"/>
      <c r="J1297" s="1"/>
      <c r="K1297" s="1" t="s">
        <v>3266</v>
      </c>
      <c r="L1297" s="1"/>
      <c r="M1297" s="1"/>
      <c r="N1297" s="1"/>
      <c r="O1297" s="1"/>
      <c r="P1297" s="6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customFormat="false" ht="21.75" hidden="false" customHeight="true" outlineLevel="0" collapsed="false">
      <c r="A1298" s="4" t="n">
        <v>43488</v>
      </c>
      <c r="B1298" s="32" t="s">
        <v>352</v>
      </c>
      <c r="C1298" s="32" t="s">
        <v>15</v>
      </c>
      <c r="D1298" s="32" t="s">
        <v>43</v>
      </c>
      <c r="E1298" s="18" t="s">
        <v>109</v>
      </c>
      <c r="F1298" s="32" t="s">
        <v>3267</v>
      </c>
      <c r="G1298" s="32" t="n">
        <v>5930986269260</v>
      </c>
      <c r="H1298" s="32" t="s">
        <v>3268</v>
      </c>
      <c r="I1298" s="1"/>
      <c r="J1298" s="1"/>
      <c r="K1298" s="1" t="s">
        <v>21</v>
      </c>
      <c r="L1298" s="1"/>
      <c r="M1298" s="1"/>
      <c r="N1298" s="1"/>
      <c r="O1298" s="1"/>
      <c r="P1298" s="6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customFormat="false" ht="21.75" hidden="false" customHeight="true" outlineLevel="0" collapsed="false">
      <c r="A1299" s="4" t="n">
        <v>43488</v>
      </c>
      <c r="B1299" s="32" t="s">
        <v>352</v>
      </c>
      <c r="C1299" s="32" t="s">
        <v>15</v>
      </c>
      <c r="D1299" s="32" t="s">
        <v>43</v>
      </c>
      <c r="E1299" s="18" t="s">
        <v>109</v>
      </c>
      <c r="F1299" s="32" t="s">
        <v>3269</v>
      </c>
      <c r="G1299" s="32" t="n">
        <v>939540133</v>
      </c>
      <c r="H1299" s="32" t="s">
        <v>3270</v>
      </c>
      <c r="I1299" s="1"/>
      <c r="J1299" s="1"/>
      <c r="K1299" s="1" t="s">
        <v>21</v>
      </c>
      <c r="L1299" s="1"/>
      <c r="M1299" s="1"/>
      <c r="N1299" s="1"/>
      <c r="O1299" s="1"/>
      <c r="P1299" s="6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customFormat="false" ht="21.75" hidden="false" customHeight="true" outlineLevel="0" collapsed="false">
      <c r="A1300" s="4" t="n">
        <v>43488</v>
      </c>
      <c r="B1300" s="32" t="s">
        <v>352</v>
      </c>
      <c r="C1300" s="32" t="s">
        <v>15</v>
      </c>
      <c r="D1300" s="32" t="s">
        <v>43</v>
      </c>
      <c r="E1300" s="18" t="s">
        <v>109</v>
      </c>
      <c r="F1300" s="32" t="s">
        <v>3271</v>
      </c>
      <c r="G1300" s="32" t="n">
        <v>593987654983</v>
      </c>
      <c r="H1300" s="32" t="s">
        <v>3272</v>
      </c>
      <c r="I1300" s="1"/>
      <c r="J1300" s="1"/>
      <c r="K1300" s="1" t="s">
        <v>3273</v>
      </c>
      <c r="L1300" s="1"/>
      <c r="M1300" s="1"/>
      <c r="N1300" s="1"/>
      <c r="O1300" s="1"/>
      <c r="P1300" s="6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customFormat="false" ht="21.75" hidden="false" customHeight="true" outlineLevel="0" collapsed="false">
      <c r="A1301" s="4" t="n">
        <v>43488</v>
      </c>
      <c r="B1301" s="32" t="s">
        <v>352</v>
      </c>
      <c r="C1301" s="32" t="s">
        <v>26</v>
      </c>
      <c r="D1301" s="32" t="s">
        <v>43</v>
      </c>
      <c r="E1301" s="18" t="s">
        <v>109</v>
      </c>
      <c r="F1301" s="32" t="s">
        <v>3274</v>
      </c>
      <c r="G1301" s="32" t="n">
        <v>593983387668</v>
      </c>
      <c r="H1301" s="32" t="s">
        <v>3275</v>
      </c>
      <c r="I1301" s="1"/>
      <c r="J1301" s="1"/>
      <c r="K1301" s="1" t="s">
        <v>3276</v>
      </c>
      <c r="L1301" s="1"/>
      <c r="M1301" s="1"/>
      <c r="N1301" s="1"/>
      <c r="O1301" s="1"/>
      <c r="P1301" s="6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customFormat="false" ht="21.75" hidden="false" customHeight="true" outlineLevel="0" collapsed="false">
      <c r="A1302" s="4" t="n">
        <v>43488</v>
      </c>
      <c r="B1302" s="32" t="s">
        <v>178</v>
      </c>
      <c r="C1302" s="32" t="s">
        <v>15</v>
      </c>
      <c r="D1302" s="32" t="s">
        <v>43</v>
      </c>
      <c r="E1302" s="18" t="s">
        <v>883</v>
      </c>
      <c r="F1302" s="32" t="s">
        <v>3277</v>
      </c>
      <c r="G1302" s="32" t="n">
        <v>593986380280</v>
      </c>
      <c r="H1302" s="32" t="s">
        <v>3278</v>
      </c>
      <c r="I1302" s="1"/>
      <c r="J1302" s="1"/>
      <c r="K1302" s="1" t="s">
        <v>21</v>
      </c>
      <c r="L1302" s="1"/>
      <c r="M1302" s="1"/>
      <c r="N1302" s="1"/>
      <c r="O1302" s="1"/>
      <c r="P1302" s="1" t="s">
        <v>21</v>
      </c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customFormat="false" ht="21.75" hidden="false" customHeight="true" outlineLevel="0" collapsed="false">
      <c r="A1303" s="4" t="n">
        <v>43488</v>
      </c>
      <c r="B1303" s="32" t="s">
        <v>178</v>
      </c>
      <c r="C1303" s="32" t="s">
        <v>26</v>
      </c>
      <c r="D1303" s="32" t="s">
        <v>43</v>
      </c>
      <c r="E1303" s="18" t="s">
        <v>883</v>
      </c>
      <c r="F1303" s="32" t="s">
        <v>3279</v>
      </c>
      <c r="G1303" s="32" t="n">
        <v>5930986028471</v>
      </c>
      <c r="H1303" s="32" t="s">
        <v>3280</v>
      </c>
      <c r="I1303" s="1"/>
      <c r="J1303" s="1"/>
      <c r="K1303" s="1" t="s">
        <v>195</v>
      </c>
      <c r="L1303" s="1"/>
      <c r="M1303" s="1"/>
      <c r="N1303" s="1"/>
      <c r="O1303" s="1"/>
      <c r="P1303" s="6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customFormat="false" ht="21.75" hidden="false" customHeight="true" outlineLevel="0" collapsed="false">
      <c r="A1304" s="4" t="n">
        <v>43488</v>
      </c>
      <c r="B1304" s="32" t="s">
        <v>178</v>
      </c>
      <c r="C1304" s="32" t="s">
        <v>15</v>
      </c>
      <c r="D1304" s="32" t="s">
        <v>43</v>
      </c>
      <c r="E1304" s="18" t="s">
        <v>883</v>
      </c>
      <c r="F1304" s="32" t="s">
        <v>3281</v>
      </c>
      <c r="G1304" s="32" t="n">
        <v>593989325724</v>
      </c>
      <c r="H1304" s="32" t="s">
        <v>3282</v>
      </c>
      <c r="I1304" s="1"/>
      <c r="J1304" s="1"/>
      <c r="K1304" s="1" t="s">
        <v>3283</v>
      </c>
      <c r="L1304" s="1"/>
      <c r="M1304" s="1"/>
      <c r="N1304" s="1"/>
      <c r="O1304" s="1"/>
      <c r="P1304" s="6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customFormat="false" ht="21.75" hidden="false" customHeight="true" outlineLevel="0" collapsed="false">
      <c r="A1305" s="4" t="n">
        <v>43488</v>
      </c>
      <c r="B1305" s="32" t="s">
        <v>178</v>
      </c>
      <c r="C1305" s="32" t="s">
        <v>26</v>
      </c>
      <c r="D1305" s="32" t="s">
        <v>43</v>
      </c>
      <c r="E1305" s="32" t="s">
        <v>883</v>
      </c>
      <c r="F1305" s="32" t="s">
        <v>3284</v>
      </c>
      <c r="G1305" s="32" t="n">
        <v>959043700</v>
      </c>
      <c r="H1305" s="32" t="s">
        <v>3206</v>
      </c>
      <c r="I1305" s="1"/>
      <c r="J1305" s="1"/>
      <c r="K1305" s="1" t="s">
        <v>21</v>
      </c>
      <c r="L1305" s="1"/>
      <c r="M1305" s="1"/>
      <c r="N1305" s="1"/>
      <c r="O1305" s="1"/>
      <c r="P1305" s="6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customFormat="false" ht="21.75" hidden="false" customHeight="true" outlineLevel="0" collapsed="false">
      <c r="A1306" s="4" t="n">
        <v>43488</v>
      </c>
      <c r="B1306" s="32" t="s">
        <v>178</v>
      </c>
      <c r="C1306" s="32" t="s">
        <v>15</v>
      </c>
      <c r="D1306" s="32" t="s">
        <v>43</v>
      </c>
      <c r="E1306" s="32" t="s">
        <v>44</v>
      </c>
      <c r="F1306" s="32" t="s">
        <v>3285</v>
      </c>
      <c r="G1306" s="32" t="n">
        <v>5930989433372</v>
      </c>
      <c r="H1306" s="32" t="s">
        <v>3286</v>
      </c>
      <c r="I1306" s="34"/>
      <c r="J1306" s="1"/>
      <c r="K1306" s="1" t="s">
        <v>21</v>
      </c>
      <c r="L1306" s="1"/>
      <c r="M1306" s="1"/>
      <c r="N1306" s="1"/>
      <c r="O1306" s="1"/>
      <c r="P1306" s="6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customFormat="false" ht="21.75" hidden="false" customHeight="true" outlineLevel="0" collapsed="false">
      <c r="A1307" s="4" t="n">
        <v>43488</v>
      </c>
      <c r="B1307" s="32" t="s">
        <v>178</v>
      </c>
      <c r="C1307" s="32" t="s">
        <v>15</v>
      </c>
      <c r="D1307" s="32" t="s">
        <v>43</v>
      </c>
      <c r="E1307" s="32" t="s">
        <v>44</v>
      </c>
      <c r="F1307" s="32" t="s">
        <v>3287</v>
      </c>
      <c r="G1307" s="32" t="n">
        <v>5930983877686</v>
      </c>
      <c r="H1307" s="32" t="s">
        <v>3288</v>
      </c>
      <c r="I1307" s="34"/>
      <c r="J1307" s="1"/>
      <c r="K1307" s="1" t="s">
        <v>165</v>
      </c>
      <c r="L1307" s="1"/>
      <c r="M1307" s="1"/>
      <c r="N1307" s="1"/>
      <c r="O1307" s="1"/>
      <c r="P1307" s="6" t="s">
        <v>3289</v>
      </c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customFormat="false" ht="21.75" hidden="false" customHeight="true" outlineLevel="0" collapsed="false">
      <c r="A1308" s="4" t="n">
        <v>43488</v>
      </c>
      <c r="B1308" s="32" t="s">
        <v>178</v>
      </c>
      <c r="C1308" s="32" t="s">
        <v>15</v>
      </c>
      <c r="D1308" s="32" t="s">
        <v>43</v>
      </c>
      <c r="E1308" s="32" t="s">
        <v>44</v>
      </c>
      <c r="F1308" s="32" t="s">
        <v>3290</v>
      </c>
      <c r="G1308" s="32" t="n">
        <v>593980503662</v>
      </c>
      <c r="H1308" s="32" t="s">
        <v>3291</v>
      </c>
      <c r="I1308" s="34"/>
      <c r="J1308" s="1"/>
      <c r="K1308" s="1" t="s">
        <v>21</v>
      </c>
      <c r="L1308" s="1"/>
      <c r="M1308" s="1"/>
      <c r="N1308" s="1"/>
      <c r="O1308" s="1"/>
      <c r="P1308" s="6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customFormat="false" ht="21.75" hidden="false" customHeight="true" outlineLevel="0" collapsed="false">
      <c r="A1309" s="4" t="n">
        <v>43488</v>
      </c>
      <c r="B1309" s="32" t="s">
        <v>178</v>
      </c>
      <c r="C1309" s="32" t="s">
        <v>15</v>
      </c>
      <c r="D1309" s="32" t="s">
        <v>43</v>
      </c>
      <c r="E1309" s="32" t="s">
        <v>44</v>
      </c>
      <c r="F1309" s="32" t="s">
        <v>3292</v>
      </c>
      <c r="G1309" s="32" t="n">
        <v>593997579249</v>
      </c>
      <c r="H1309" s="32" t="s">
        <v>3293</v>
      </c>
      <c r="I1309" s="34"/>
      <c r="J1309" s="1"/>
      <c r="K1309" s="1" t="s">
        <v>21</v>
      </c>
      <c r="L1309" s="1"/>
      <c r="M1309" s="1"/>
      <c r="N1309" s="1"/>
      <c r="O1309" s="1"/>
      <c r="P1309" s="6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customFormat="false" ht="21.75" hidden="false" customHeight="true" outlineLevel="0" collapsed="false">
      <c r="A1310" s="4" t="n">
        <v>43488</v>
      </c>
      <c r="B1310" s="32" t="s">
        <v>178</v>
      </c>
      <c r="C1310" s="32" t="s">
        <v>15</v>
      </c>
      <c r="D1310" s="32" t="s">
        <v>43</v>
      </c>
      <c r="E1310" s="32" t="s">
        <v>44</v>
      </c>
      <c r="F1310" s="32" t="s">
        <v>3294</v>
      </c>
      <c r="G1310" s="32" t="n">
        <v>5930980681240</v>
      </c>
      <c r="H1310" s="32" t="s">
        <v>3295</v>
      </c>
      <c r="I1310" s="34"/>
      <c r="J1310" s="1"/>
      <c r="K1310" s="1" t="s">
        <v>21</v>
      </c>
      <c r="L1310" s="1"/>
      <c r="M1310" s="1"/>
      <c r="N1310" s="1"/>
      <c r="O1310" s="1"/>
      <c r="P1310" s="6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customFormat="false" ht="21.75" hidden="false" customHeight="true" outlineLevel="0" collapsed="false">
      <c r="A1311" s="4" t="n">
        <v>43488</v>
      </c>
      <c r="B1311" s="32" t="s">
        <v>178</v>
      </c>
      <c r="C1311" s="32" t="s">
        <v>26</v>
      </c>
      <c r="D1311" s="32" t="s">
        <v>43</v>
      </c>
      <c r="E1311" s="32" t="s">
        <v>44</v>
      </c>
      <c r="F1311" s="32" t="s">
        <v>1727</v>
      </c>
      <c r="G1311" s="32" t="n">
        <v>593983650825</v>
      </c>
      <c r="H1311" s="32" t="s">
        <v>1728</v>
      </c>
      <c r="I1311" s="34"/>
      <c r="J1311" s="1"/>
      <c r="K1311" s="1" t="s">
        <v>21</v>
      </c>
      <c r="L1311" s="1"/>
      <c r="M1311" s="1"/>
      <c r="N1311" s="1"/>
      <c r="O1311" s="1"/>
      <c r="P1311" s="6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customFormat="false" ht="21.75" hidden="false" customHeight="true" outlineLevel="0" collapsed="false">
      <c r="A1312" s="4" t="n">
        <v>43488</v>
      </c>
      <c r="B1312" s="32" t="s">
        <v>178</v>
      </c>
      <c r="C1312" s="32" t="s">
        <v>15</v>
      </c>
      <c r="D1312" s="32" t="s">
        <v>43</v>
      </c>
      <c r="E1312" s="18" t="s">
        <v>109</v>
      </c>
      <c r="F1312" s="32" t="s">
        <v>3296</v>
      </c>
      <c r="G1312" s="32" t="n">
        <v>5930985395842</v>
      </c>
      <c r="H1312" s="32" t="s">
        <v>3297</v>
      </c>
      <c r="I1312" s="1"/>
      <c r="J1312" s="1"/>
      <c r="K1312" s="1" t="s">
        <v>21</v>
      </c>
      <c r="L1312" s="1"/>
      <c r="M1312" s="1"/>
      <c r="N1312" s="1"/>
      <c r="O1312" s="1"/>
      <c r="P1312" s="6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customFormat="false" ht="21.75" hidden="false" customHeight="true" outlineLevel="0" collapsed="false">
      <c r="A1313" s="4" t="n">
        <v>43488</v>
      </c>
      <c r="B1313" s="32" t="s">
        <v>178</v>
      </c>
      <c r="C1313" s="32" t="s">
        <v>15</v>
      </c>
      <c r="D1313" s="32" t="s">
        <v>43</v>
      </c>
      <c r="E1313" s="18" t="s">
        <v>109</v>
      </c>
      <c r="F1313" s="32" t="s">
        <v>3298</v>
      </c>
      <c r="G1313" s="32" t="n">
        <v>593961040886</v>
      </c>
      <c r="H1313" s="32" t="s">
        <v>3299</v>
      </c>
      <c r="I1313" s="1"/>
      <c r="J1313" s="1"/>
      <c r="K1313" s="1" t="s">
        <v>21</v>
      </c>
      <c r="L1313" s="1"/>
      <c r="M1313" s="1"/>
      <c r="N1313" s="1"/>
      <c r="O1313" s="1"/>
      <c r="P1313" s="6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customFormat="false" ht="21.75" hidden="false" customHeight="true" outlineLevel="0" collapsed="false">
      <c r="A1314" s="4" t="n">
        <v>43488</v>
      </c>
      <c r="B1314" s="32" t="s">
        <v>81</v>
      </c>
      <c r="C1314" s="32" t="s">
        <v>15</v>
      </c>
      <c r="D1314" s="32" t="s">
        <v>43</v>
      </c>
      <c r="E1314" s="32" t="s">
        <v>44</v>
      </c>
      <c r="F1314" s="32" t="s">
        <v>3300</v>
      </c>
      <c r="G1314" s="32" t="n">
        <v>593986891562</v>
      </c>
      <c r="H1314" s="32" t="s">
        <v>3301</v>
      </c>
      <c r="I1314" s="34"/>
      <c r="J1314" s="1"/>
      <c r="K1314" s="1" t="s">
        <v>21</v>
      </c>
      <c r="L1314" s="1"/>
      <c r="M1314" s="1"/>
      <c r="N1314" s="1"/>
      <c r="O1314" s="1"/>
      <c r="P1314" s="6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customFormat="false" ht="21.75" hidden="false" customHeight="true" outlineLevel="0" collapsed="false">
      <c r="A1315" s="4" t="n">
        <v>43488</v>
      </c>
      <c r="B1315" s="32" t="s">
        <v>81</v>
      </c>
      <c r="C1315" s="32" t="s">
        <v>15</v>
      </c>
      <c r="D1315" s="32" t="s">
        <v>43</v>
      </c>
      <c r="E1315" s="32" t="s">
        <v>44</v>
      </c>
      <c r="F1315" s="32" t="s">
        <v>3302</v>
      </c>
      <c r="G1315" s="32" t="n">
        <v>997057868</v>
      </c>
      <c r="H1315" s="32" t="s">
        <v>3303</v>
      </c>
      <c r="I1315" s="1"/>
      <c r="J1315" s="1"/>
      <c r="K1315" s="1" t="s">
        <v>21</v>
      </c>
      <c r="L1315" s="1"/>
      <c r="M1315" s="1"/>
      <c r="N1315" s="1"/>
      <c r="O1315" s="1"/>
      <c r="P1315" s="6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customFormat="false" ht="21.75" hidden="false" customHeight="true" outlineLevel="0" collapsed="false">
      <c r="A1316" s="4" t="n">
        <v>43488</v>
      </c>
      <c r="B1316" s="32" t="s">
        <v>81</v>
      </c>
      <c r="C1316" s="32" t="s">
        <v>15</v>
      </c>
      <c r="D1316" s="32" t="s">
        <v>43</v>
      </c>
      <c r="E1316" s="18" t="s">
        <v>109</v>
      </c>
      <c r="F1316" s="32" t="s">
        <v>3304</v>
      </c>
      <c r="G1316" s="32" t="n">
        <v>593998493655</v>
      </c>
      <c r="H1316" s="32" t="s">
        <v>3305</v>
      </c>
      <c r="I1316" s="1"/>
      <c r="J1316" s="1"/>
      <c r="K1316" s="1" t="s">
        <v>21</v>
      </c>
      <c r="L1316" s="1"/>
      <c r="M1316" s="1"/>
      <c r="N1316" s="1"/>
      <c r="O1316" s="1"/>
      <c r="P1316" s="6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customFormat="false" ht="21.75" hidden="false" customHeight="true" outlineLevel="0" collapsed="false">
      <c r="A1317" s="4" t="n">
        <v>43488</v>
      </c>
      <c r="B1317" s="32" t="s">
        <v>911</v>
      </c>
      <c r="C1317" s="32" t="s">
        <v>15</v>
      </c>
      <c r="D1317" s="32" t="s">
        <v>16</v>
      </c>
      <c r="E1317" s="32" t="s">
        <v>17</v>
      </c>
      <c r="F1317" s="32" t="s">
        <v>3306</v>
      </c>
      <c r="G1317" s="32" t="n">
        <v>998668815</v>
      </c>
      <c r="H1317" s="32" t="s">
        <v>3307</v>
      </c>
      <c r="I1317" s="1"/>
      <c r="J1317" s="1"/>
      <c r="K1317" s="1" t="s">
        <v>21</v>
      </c>
      <c r="L1317" s="1"/>
      <c r="M1317" s="1"/>
      <c r="N1317" s="1"/>
      <c r="O1317" s="1"/>
      <c r="P1317" s="6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customFormat="false" ht="36" hidden="false" customHeight="true" outlineLevel="0" collapsed="false">
      <c r="A1318" s="4" t="n">
        <v>43488</v>
      </c>
      <c r="B1318" s="32" t="s">
        <v>911</v>
      </c>
      <c r="C1318" s="32" t="s">
        <v>15</v>
      </c>
      <c r="D1318" s="32" t="s">
        <v>16</v>
      </c>
      <c r="E1318" s="32" t="s">
        <v>17</v>
      </c>
      <c r="F1318" s="32" t="s">
        <v>3308</v>
      </c>
      <c r="G1318" s="32" t="n">
        <v>593988779756</v>
      </c>
      <c r="H1318" s="32" t="s">
        <v>3309</v>
      </c>
      <c r="I1318" s="1"/>
      <c r="J1318" s="1"/>
      <c r="K1318" s="1" t="s">
        <v>3310</v>
      </c>
      <c r="L1318" s="1"/>
      <c r="M1318" s="1"/>
      <c r="N1318" s="1"/>
      <c r="O1318" s="1"/>
      <c r="P1318" s="6" t="s">
        <v>21</v>
      </c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customFormat="false" ht="37.5" hidden="false" customHeight="true" outlineLevel="0" collapsed="false">
      <c r="A1319" s="4" t="n">
        <v>43488</v>
      </c>
      <c r="B1319" s="32" t="s">
        <v>911</v>
      </c>
      <c r="C1319" s="32" t="s">
        <v>26</v>
      </c>
      <c r="D1319" s="32" t="s">
        <v>16</v>
      </c>
      <c r="E1319" s="32" t="s">
        <v>17</v>
      </c>
      <c r="F1319" s="33" t="s">
        <v>3311</v>
      </c>
      <c r="G1319" s="32" t="n">
        <v>992323828</v>
      </c>
      <c r="H1319" s="32" t="s">
        <v>3312</v>
      </c>
      <c r="I1319" s="1"/>
      <c r="J1319" s="1"/>
      <c r="K1319" s="1" t="s">
        <v>3313</v>
      </c>
      <c r="L1319" s="1" t="s">
        <v>3314</v>
      </c>
      <c r="M1319" s="1" t="s">
        <v>3315</v>
      </c>
      <c r="N1319" s="1"/>
      <c r="O1319" s="1"/>
      <c r="P1319" s="6" t="s">
        <v>133</v>
      </c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customFormat="false" ht="21.75" hidden="false" customHeight="true" outlineLevel="0" collapsed="false">
      <c r="A1320" s="4" t="n">
        <v>43488</v>
      </c>
      <c r="B1320" s="32" t="s">
        <v>911</v>
      </c>
      <c r="C1320" s="32" t="s">
        <v>15</v>
      </c>
      <c r="D1320" s="32" t="s">
        <v>16</v>
      </c>
      <c r="E1320" s="32" t="s">
        <v>17</v>
      </c>
      <c r="F1320" s="32" t="s">
        <v>3316</v>
      </c>
      <c r="H1320" s="32" t="s">
        <v>3317</v>
      </c>
      <c r="I1320" s="1"/>
      <c r="J1320" s="1"/>
      <c r="K1320" s="1" t="s">
        <v>21</v>
      </c>
      <c r="L1320" s="1"/>
      <c r="M1320" s="1"/>
      <c r="N1320" s="1"/>
      <c r="O1320" s="1"/>
      <c r="P1320" s="6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customFormat="false" ht="21.75" hidden="false" customHeight="true" outlineLevel="0" collapsed="false">
      <c r="A1321" s="4" t="n">
        <v>43488</v>
      </c>
      <c r="B1321" s="11" t="s">
        <v>286</v>
      </c>
      <c r="C1321" s="32" t="s">
        <v>26</v>
      </c>
      <c r="D1321" s="32" t="s">
        <v>16</v>
      </c>
      <c r="E1321" s="32" t="s">
        <v>17</v>
      </c>
      <c r="F1321" s="32" t="s">
        <v>3318</v>
      </c>
      <c r="G1321" s="32" t="n">
        <v>593958954228</v>
      </c>
      <c r="H1321" s="32" t="s">
        <v>3319</v>
      </c>
      <c r="I1321" s="1"/>
      <c r="J1321" s="1"/>
      <c r="K1321" s="1" t="s">
        <v>3320</v>
      </c>
      <c r="L1321" s="1"/>
      <c r="M1321" s="1"/>
      <c r="N1321" s="1"/>
      <c r="O1321" s="1"/>
      <c r="P1321" s="6" t="s">
        <v>21</v>
      </c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customFormat="false" ht="54" hidden="false" customHeight="true" outlineLevel="0" collapsed="false">
      <c r="A1322" s="4" t="n">
        <v>43488</v>
      </c>
      <c r="B1322" s="11" t="s">
        <v>286</v>
      </c>
      <c r="C1322" s="32" t="s">
        <v>26</v>
      </c>
      <c r="D1322" s="32" t="s">
        <v>16</v>
      </c>
      <c r="E1322" s="32" t="s">
        <v>17</v>
      </c>
      <c r="F1322" s="32" t="s">
        <v>3321</v>
      </c>
      <c r="G1322" s="32" t="n">
        <v>593996850041</v>
      </c>
      <c r="H1322" s="32" t="s">
        <v>3322</v>
      </c>
      <c r="I1322" s="1"/>
      <c r="J1322" s="1"/>
      <c r="K1322" s="1" t="s">
        <v>3323</v>
      </c>
      <c r="L1322" s="1"/>
      <c r="M1322" s="1"/>
      <c r="N1322" s="1"/>
      <c r="O1322" s="1"/>
      <c r="P1322" s="6" t="s">
        <v>133</v>
      </c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customFormat="false" ht="45.75" hidden="false" customHeight="true" outlineLevel="0" collapsed="false">
      <c r="A1323" s="4" t="n">
        <v>43488</v>
      </c>
      <c r="B1323" s="11" t="s">
        <v>286</v>
      </c>
      <c r="C1323" s="32" t="s">
        <v>26</v>
      </c>
      <c r="D1323" s="32" t="s">
        <v>16</v>
      </c>
      <c r="E1323" s="32" t="s">
        <v>17</v>
      </c>
      <c r="F1323" s="32" t="s">
        <v>3324</v>
      </c>
      <c r="G1323" s="32" t="n">
        <v>939875647</v>
      </c>
      <c r="H1323" s="32" t="s">
        <v>3325</v>
      </c>
      <c r="I1323" s="1"/>
      <c r="J1323" s="1"/>
      <c r="K1323" s="1" t="s">
        <v>3326</v>
      </c>
      <c r="L1323" s="1"/>
      <c r="M1323" s="1"/>
      <c r="N1323" s="1"/>
      <c r="O1323" s="1"/>
      <c r="P1323" s="6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customFormat="false" ht="21.75" hidden="false" customHeight="true" outlineLevel="0" collapsed="false">
      <c r="A1324" s="4" t="n">
        <v>43488</v>
      </c>
      <c r="B1324" s="32" t="s">
        <v>86</v>
      </c>
      <c r="C1324" s="32" t="s">
        <v>15</v>
      </c>
      <c r="D1324" s="32" t="s">
        <v>16</v>
      </c>
      <c r="E1324" s="32" t="s">
        <v>17</v>
      </c>
      <c r="F1324" s="32" t="s">
        <v>3327</v>
      </c>
      <c r="G1324" s="32" t="n">
        <v>996519155</v>
      </c>
      <c r="H1324" s="32" t="s">
        <v>3328</v>
      </c>
      <c r="I1324" s="1"/>
      <c r="J1324" s="1"/>
      <c r="K1324" s="1" t="s">
        <v>3329</v>
      </c>
      <c r="L1324" s="1"/>
      <c r="M1324" s="1"/>
      <c r="N1324" s="1"/>
      <c r="O1324" s="1"/>
      <c r="P1324" s="6" t="s">
        <v>3126</v>
      </c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customFormat="false" ht="33.75" hidden="false" customHeight="true" outlineLevel="0" collapsed="false">
      <c r="A1325" s="4" t="n">
        <v>43488</v>
      </c>
      <c r="B1325" s="32" t="s">
        <v>86</v>
      </c>
      <c r="C1325" s="32" t="s">
        <v>15</v>
      </c>
      <c r="D1325" s="32" t="s">
        <v>16</v>
      </c>
      <c r="E1325" s="32" t="s">
        <v>17</v>
      </c>
      <c r="F1325" s="33" t="s">
        <v>3330</v>
      </c>
      <c r="G1325" s="32" t="n">
        <v>593985852617</v>
      </c>
      <c r="H1325" s="32" t="s">
        <v>3331</v>
      </c>
      <c r="I1325" s="1"/>
      <c r="J1325" s="1"/>
      <c r="K1325" s="1" t="s">
        <v>3332</v>
      </c>
      <c r="L1325" s="1"/>
      <c r="M1325" s="1"/>
      <c r="N1325" s="1"/>
      <c r="O1325" s="1"/>
      <c r="P1325" s="6" t="s">
        <v>133</v>
      </c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customFormat="false" ht="33.75" hidden="false" customHeight="true" outlineLevel="0" collapsed="false">
      <c r="A1326" s="4" t="n">
        <v>43488</v>
      </c>
      <c r="B1326" s="32" t="s">
        <v>86</v>
      </c>
      <c r="C1326" s="32" t="s">
        <v>15</v>
      </c>
      <c r="D1326" s="32" t="s">
        <v>16</v>
      </c>
      <c r="E1326" s="32" t="s">
        <v>17</v>
      </c>
      <c r="F1326" s="32" t="s">
        <v>3333</v>
      </c>
      <c r="G1326" s="32" t="n">
        <v>5930980103287</v>
      </c>
      <c r="H1326" s="32" t="s">
        <v>3334</v>
      </c>
      <c r="I1326" s="1"/>
      <c r="J1326" s="1"/>
      <c r="K1326" s="1" t="s">
        <v>3310</v>
      </c>
      <c r="L1326" s="1"/>
      <c r="M1326" s="1"/>
      <c r="N1326" s="1"/>
      <c r="O1326" s="1"/>
      <c r="P1326" s="6" t="s">
        <v>21</v>
      </c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customFormat="false" ht="33.75" hidden="false" customHeight="true" outlineLevel="0" collapsed="false">
      <c r="A1327" s="4" t="n">
        <v>43488</v>
      </c>
      <c r="B1327" s="32" t="s">
        <v>86</v>
      </c>
      <c r="C1327" s="32" t="s">
        <v>15</v>
      </c>
      <c r="D1327" s="32" t="s">
        <v>16</v>
      </c>
      <c r="E1327" s="32" t="s">
        <v>17</v>
      </c>
      <c r="F1327" s="32" t="s">
        <v>3335</v>
      </c>
      <c r="G1327" s="32" t="n">
        <v>593988784366</v>
      </c>
      <c r="H1327" s="32" t="s">
        <v>3336</v>
      </c>
      <c r="I1327" s="1"/>
      <c r="J1327" s="1"/>
      <c r="K1327" s="1" t="s">
        <v>3310</v>
      </c>
      <c r="L1327" s="1"/>
      <c r="M1327" s="1"/>
      <c r="N1327" s="1"/>
      <c r="O1327" s="1"/>
      <c r="P1327" s="6" t="s">
        <v>21</v>
      </c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customFormat="false" ht="36.75" hidden="false" customHeight="true" outlineLevel="0" collapsed="false">
      <c r="A1328" s="4" t="n">
        <v>43488</v>
      </c>
      <c r="B1328" s="32" t="s">
        <v>86</v>
      </c>
      <c r="C1328" s="32" t="s">
        <v>15</v>
      </c>
      <c r="D1328" s="32" t="s">
        <v>16</v>
      </c>
      <c r="E1328" s="32" t="s">
        <v>17</v>
      </c>
      <c r="F1328" s="33" t="s">
        <v>3337</v>
      </c>
      <c r="G1328" s="32" t="n">
        <v>593969632704</v>
      </c>
      <c r="H1328" s="32" t="s">
        <v>3338</v>
      </c>
      <c r="I1328" s="1"/>
      <c r="J1328" s="1"/>
      <c r="K1328" s="1" t="s">
        <v>3339</v>
      </c>
      <c r="L1328" s="1"/>
      <c r="M1328" s="1"/>
      <c r="N1328" s="1"/>
      <c r="O1328" s="1"/>
      <c r="P1328" s="6" t="s">
        <v>133</v>
      </c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customFormat="false" ht="21.75" hidden="false" customHeight="true" outlineLevel="0" collapsed="false">
      <c r="A1329" s="4" t="n">
        <v>43488</v>
      </c>
      <c r="B1329" s="32" t="s">
        <v>86</v>
      </c>
      <c r="C1329" s="32" t="s">
        <v>15</v>
      </c>
      <c r="D1329" s="32" t="s">
        <v>16</v>
      </c>
      <c r="E1329" s="32" t="s">
        <v>17</v>
      </c>
      <c r="F1329" s="32" t="s">
        <v>3340</v>
      </c>
      <c r="G1329" s="32" t="n">
        <v>593988876401</v>
      </c>
      <c r="H1329" s="32" t="s">
        <v>3341</v>
      </c>
      <c r="I1329" s="1"/>
      <c r="J1329" s="1"/>
      <c r="K1329" s="1" t="s">
        <v>3310</v>
      </c>
      <c r="L1329" s="1"/>
      <c r="M1329" s="1"/>
      <c r="N1329" s="1"/>
      <c r="O1329" s="1"/>
      <c r="P1329" s="6" t="s">
        <v>21</v>
      </c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customFormat="false" ht="21.75" hidden="false" customHeight="true" outlineLevel="0" collapsed="false">
      <c r="A1330" s="4" t="n">
        <v>43488</v>
      </c>
      <c r="B1330" s="32" t="s">
        <v>86</v>
      </c>
      <c r="C1330" s="32" t="s">
        <v>15</v>
      </c>
      <c r="D1330" s="32" t="s">
        <v>16</v>
      </c>
      <c r="E1330" s="32" t="s">
        <v>17</v>
      </c>
      <c r="F1330" s="32" t="s">
        <v>3342</v>
      </c>
      <c r="G1330" s="32" t="n">
        <v>5930968637805</v>
      </c>
      <c r="H1330" s="32" t="s">
        <v>3343</v>
      </c>
      <c r="I1330" s="1"/>
      <c r="J1330" s="1"/>
      <c r="K1330" s="1" t="s">
        <v>3310</v>
      </c>
      <c r="L1330" s="1"/>
      <c r="M1330" s="1"/>
      <c r="N1330" s="1"/>
      <c r="O1330" s="1"/>
      <c r="P1330" s="6" t="s">
        <v>58</v>
      </c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customFormat="false" ht="21.75" hidden="false" customHeight="true" outlineLevel="0" collapsed="false">
      <c r="A1331" s="4" t="n">
        <v>43488</v>
      </c>
      <c r="B1331" s="32" t="s">
        <v>86</v>
      </c>
      <c r="C1331" s="32" t="s">
        <v>26</v>
      </c>
      <c r="D1331" s="32" t="s">
        <v>16</v>
      </c>
      <c r="E1331" s="32" t="s">
        <v>17</v>
      </c>
      <c r="F1331" s="32" t="s">
        <v>3344</v>
      </c>
      <c r="G1331" s="32" t="n">
        <v>593988155575</v>
      </c>
      <c r="H1331" s="32" t="s">
        <v>3345</v>
      </c>
      <c r="I1331" s="1"/>
      <c r="J1331" s="1"/>
      <c r="K1331" s="1" t="s">
        <v>3310</v>
      </c>
      <c r="L1331" s="1"/>
      <c r="M1331" s="1"/>
      <c r="N1331" s="1"/>
      <c r="O1331" s="1"/>
      <c r="P1331" s="6" t="s">
        <v>21</v>
      </c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customFormat="false" ht="21.75" hidden="false" customHeight="true" outlineLevel="0" collapsed="false">
      <c r="A1332" s="4" t="n">
        <v>43488</v>
      </c>
      <c r="B1332" s="32" t="s">
        <v>86</v>
      </c>
      <c r="C1332" s="32" t="s">
        <v>15</v>
      </c>
      <c r="D1332" s="32" t="s">
        <v>16</v>
      </c>
      <c r="E1332" s="32" t="s">
        <v>17</v>
      </c>
      <c r="F1332" s="32" t="s">
        <v>3346</v>
      </c>
      <c r="G1332" s="32" t="n">
        <v>989873399</v>
      </c>
      <c r="H1332" s="32" t="s">
        <v>3347</v>
      </c>
      <c r="I1332" s="1"/>
      <c r="J1332" s="1"/>
      <c r="K1332" s="1" t="s">
        <v>3348</v>
      </c>
      <c r="L1332" s="1"/>
      <c r="M1332" s="1"/>
      <c r="N1332" s="1"/>
      <c r="O1332" s="1"/>
      <c r="P1332" s="6" t="s">
        <v>133</v>
      </c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customFormat="false" ht="21.75" hidden="false" customHeight="true" outlineLevel="0" collapsed="false">
      <c r="A1333" s="4" t="n">
        <v>43489</v>
      </c>
      <c r="B1333" s="8" t="s">
        <v>42</v>
      </c>
      <c r="C1333" s="8" t="s">
        <v>15</v>
      </c>
      <c r="D1333" s="32" t="s">
        <v>43</v>
      </c>
      <c r="E1333" s="8" t="s">
        <v>44</v>
      </c>
      <c r="F1333" s="8" t="s">
        <v>3349</v>
      </c>
      <c r="G1333" s="8" t="n">
        <f aca="false">+593980661068</f>
        <v>593980661068</v>
      </c>
      <c r="H1333" s="8" t="s">
        <v>3350</v>
      </c>
      <c r="I1333" s="8"/>
      <c r="J1333" s="1"/>
      <c r="K1333" s="1" t="s">
        <v>21</v>
      </c>
      <c r="L1333" s="1"/>
      <c r="M1333" s="1"/>
      <c r="N1333" s="1"/>
      <c r="O1333" s="1"/>
      <c r="P1333" s="6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customFormat="false" ht="21.75" hidden="false" customHeight="true" outlineLevel="0" collapsed="false">
      <c r="A1334" s="4" t="n">
        <v>43489</v>
      </c>
      <c r="B1334" s="8" t="s">
        <v>42</v>
      </c>
      <c r="C1334" s="8" t="s">
        <v>15</v>
      </c>
      <c r="D1334" s="32" t="s">
        <v>43</v>
      </c>
      <c r="E1334" s="8" t="s">
        <v>44</v>
      </c>
      <c r="F1334" s="8" t="s">
        <v>3351</v>
      </c>
      <c r="G1334" s="8" t="n">
        <f aca="false">+593988620025</f>
        <v>593988620025</v>
      </c>
      <c r="H1334" s="8" t="s">
        <v>3352</v>
      </c>
      <c r="I1334" s="8"/>
      <c r="J1334" s="1"/>
      <c r="K1334" s="1" t="s">
        <v>345</v>
      </c>
      <c r="L1334" s="1"/>
      <c r="M1334" s="1"/>
      <c r="N1334" s="1"/>
      <c r="O1334" s="1"/>
      <c r="P1334" s="6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customFormat="false" ht="21.75" hidden="false" customHeight="true" outlineLevel="0" collapsed="false">
      <c r="A1335" s="4" t="n">
        <v>43489</v>
      </c>
      <c r="B1335" s="8" t="s">
        <v>42</v>
      </c>
      <c r="C1335" s="8" t="s">
        <v>15</v>
      </c>
      <c r="D1335" s="32" t="s">
        <v>43</v>
      </c>
      <c r="E1335" s="8" t="s">
        <v>44</v>
      </c>
      <c r="F1335" s="8" t="s">
        <v>3353</v>
      </c>
      <c r="G1335" s="8" t="n">
        <f aca="false">+593985392324</f>
        <v>593985392324</v>
      </c>
      <c r="H1335" s="8" t="s">
        <v>3354</v>
      </c>
      <c r="I1335" s="8"/>
      <c r="J1335" s="1"/>
      <c r="K1335" s="1" t="s">
        <v>1065</v>
      </c>
      <c r="L1335" s="1"/>
      <c r="M1335" s="1"/>
      <c r="N1335" s="1"/>
      <c r="O1335" s="1"/>
      <c r="P1335" s="6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customFormat="false" ht="21.75" hidden="false" customHeight="true" outlineLevel="0" collapsed="false">
      <c r="A1336" s="4" t="n">
        <v>43489</v>
      </c>
      <c r="B1336" s="8" t="s">
        <v>42</v>
      </c>
      <c r="C1336" s="8" t="s">
        <v>15</v>
      </c>
      <c r="D1336" s="32" t="s">
        <v>43</v>
      </c>
      <c r="E1336" s="8" t="s">
        <v>44</v>
      </c>
      <c r="F1336" s="8" t="s">
        <v>3355</v>
      </c>
      <c r="G1336" s="8" t="n">
        <f aca="false">+5930986760900</f>
        <v>5930986760900</v>
      </c>
      <c r="H1336" s="8" t="s">
        <v>3356</v>
      </c>
      <c r="I1336" s="8"/>
      <c r="J1336" s="1"/>
      <c r="K1336" s="1" t="s">
        <v>21</v>
      </c>
      <c r="L1336" s="1"/>
      <c r="M1336" s="1"/>
      <c r="N1336" s="1"/>
      <c r="O1336" s="1"/>
      <c r="P1336" s="6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customFormat="false" ht="21.75" hidden="false" customHeight="true" outlineLevel="0" collapsed="false">
      <c r="A1337" s="4" t="n">
        <v>43489</v>
      </c>
      <c r="B1337" s="8" t="s">
        <v>42</v>
      </c>
      <c r="C1337" s="8" t="s">
        <v>15</v>
      </c>
      <c r="D1337" s="32" t="s">
        <v>43</v>
      </c>
      <c r="E1337" s="8" t="s">
        <v>44</v>
      </c>
      <c r="F1337" s="8" t="s">
        <v>3357</v>
      </c>
      <c r="G1337" s="8" t="n">
        <f aca="false">+593969443440</f>
        <v>593969443440</v>
      </c>
      <c r="H1337" s="8" t="s">
        <v>3358</v>
      </c>
      <c r="I1337" s="8"/>
      <c r="J1337" s="1"/>
      <c r="K1337" s="1" t="s">
        <v>3359</v>
      </c>
      <c r="L1337" s="1"/>
      <c r="M1337" s="1"/>
      <c r="N1337" s="1"/>
      <c r="O1337" s="1"/>
      <c r="P1337" s="6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customFormat="false" ht="21.75" hidden="false" customHeight="true" outlineLevel="0" collapsed="false">
      <c r="A1338" s="4" t="n">
        <v>43489</v>
      </c>
      <c r="B1338" s="8" t="s">
        <v>42</v>
      </c>
      <c r="C1338" s="8" t="s">
        <v>15</v>
      </c>
      <c r="D1338" s="32" t="s">
        <v>43</v>
      </c>
      <c r="E1338" s="8" t="s">
        <v>109</v>
      </c>
      <c r="F1338" s="8" t="s">
        <v>3360</v>
      </c>
      <c r="G1338" s="8" t="n">
        <f aca="false">+593999096086</f>
        <v>593999096086</v>
      </c>
      <c r="H1338" s="8" t="s">
        <v>3361</v>
      </c>
      <c r="I1338" s="8"/>
      <c r="J1338" s="1"/>
      <c r="K1338" s="1" t="s">
        <v>294</v>
      </c>
      <c r="L1338" s="1"/>
      <c r="M1338" s="1"/>
      <c r="N1338" s="1"/>
      <c r="O1338" s="1"/>
      <c r="P1338" s="6" t="s">
        <v>3126</v>
      </c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customFormat="false" ht="21.75" hidden="false" customHeight="true" outlineLevel="0" collapsed="false">
      <c r="A1339" s="4" t="n">
        <v>43489</v>
      </c>
      <c r="B1339" s="8" t="s">
        <v>42</v>
      </c>
      <c r="C1339" s="8" t="s">
        <v>15</v>
      </c>
      <c r="D1339" s="32" t="s">
        <v>43</v>
      </c>
      <c r="E1339" s="8" t="s">
        <v>109</v>
      </c>
      <c r="F1339" s="8" t="s">
        <v>3362</v>
      </c>
      <c r="G1339" s="8" t="n">
        <f aca="false">+593996866204</f>
        <v>593996866204</v>
      </c>
      <c r="H1339" s="8" t="s">
        <v>3363</v>
      </c>
      <c r="I1339" s="8"/>
      <c r="J1339" s="1"/>
      <c r="K1339" s="1" t="s">
        <v>3364</v>
      </c>
      <c r="L1339" s="1"/>
      <c r="M1339" s="1"/>
      <c r="N1339" s="1"/>
      <c r="O1339" s="1"/>
      <c r="P1339" s="6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customFormat="false" ht="21.75" hidden="false" customHeight="true" outlineLevel="0" collapsed="false">
      <c r="A1340" s="4" t="n">
        <v>43489</v>
      </c>
      <c r="B1340" s="8" t="s">
        <v>42</v>
      </c>
      <c r="C1340" s="8" t="s">
        <v>15</v>
      </c>
      <c r="D1340" s="8" t="s">
        <v>43</v>
      </c>
      <c r="E1340" s="8" t="s">
        <v>109</v>
      </c>
      <c r="F1340" s="39" t="s">
        <v>3365</v>
      </c>
      <c r="G1340" s="32" t="n">
        <v>982089501</v>
      </c>
      <c r="H1340" s="32" t="s">
        <v>3366</v>
      </c>
      <c r="I1340" s="32"/>
      <c r="J1340" s="1"/>
      <c r="K1340" s="1" t="s">
        <v>21</v>
      </c>
      <c r="L1340" s="1"/>
      <c r="M1340" s="1"/>
      <c r="N1340" s="1"/>
      <c r="O1340" s="1"/>
      <c r="P1340" s="6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customFormat="false" ht="21.75" hidden="false" customHeight="true" outlineLevel="0" collapsed="false">
      <c r="A1341" s="4" t="n">
        <v>43489</v>
      </c>
      <c r="B1341" s="8" t="s">
        <v>42</v>
      </c>
      <c r="C1341" s="8" t="s">
        <v>26</v>
      </c>
      <c r="D1341" s="32" t="s">
        <v>43</v>
      </c>
      <c r="E1341" s="8" t="s">
        <v>44</v>
      </c>
      <c r="F1341" s="8" t="s">
        <v>3367</v>
      </c>
      <c r="G1341" s="8" t="n">
        <f aca="false">+593987557232</f>
        <v>593987557232</v>
      </c>
      <c r="H1341" s="8" t="s">
        <v>3368</v>
      </c>
      <c r="I1341" s="8"/>
      <c r="J1341" s="1"/>
      <c r="K1341" s="1" t="s">
        <v>3369</v>
      </c>
      <c r="L1341" s="1"/>
      <c r="M1341" s="1"/>
      <c r="N1341" s="1"/>
      <c r="O1341" s="1"/>
      <c r="P1341" s="6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customFormat="false" ht="21.75" hidden="false" customHeight="true" outlineLevel="0" collapsed="false">
      <c r="A1342" s="4" t="n">
        <v>43489</v>
      </c>
      <c r="B1342" s="32" t="s">
        <v>166</v>
      </c>
      <c r="C1342" s="8" t="s">
        <v>15</v>
      </c>
      <c r="D1342" s="32" t="s">
        <v>16</v>
      </c>
      <c r="E1342" s="8" t="s">
        <v>17</v>
      </c>
      <c r="F1342" s="8" t="s">
        <v>3370</v>
      </c>
      <c r="G1342" s="8" t="n">
        <f aca="false">+593969861655</f>
        <v>593969861655</v>
      </c>
      <c r="H1342" s="8" t="s">
        <v>3371</v>
      </c>
      <c r="I1342" s="8"/>
      <c r="J1342" s="1"/>
      <c r="K1342" s="1" t="s">
        <v>3372</v>
      </c>
      <c r="L1342" s="1"/>
      <c r="M1342" s="1"/>
      <c r="N1342" s="1"/>
      <c r="O1342" s="1"/>
      <c r="P1342" s="6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customFormat="false" ht="21.75" hidden="false" customHeight="true" outlineLevel="0" collapsed="false">
      <c r="A1343" s="4" t="n">
        <v>43489</v>
      </c>
      <c r="B1343" s="32" t="s">
        <v>166</v>
      </c>
      <c r="C1343" s="8" t="s">
        <v>15</v>
      </c>
      <c r="D1343" s="32" t="s">
        <v>16</v>
      </c>
      <c r="E1343" s="8" t="s">
        <v>17</v>
      </c>
      <c r="F1343" s="8" t="s">
        <v>3373</v>
      </c>
      <c r="G1343" s="8" t="n">
        <f aca="false">+593997697102</f>
        <v>593997697102</v>
      </c>
      <c r="H1343" s="8" t="s">
        <v>3374</v>
      </c>
      <c r="I1343" s="8"/>
      <c r="J1343" s="1"/>
      <c r="K1343" s="1" t="s">
        <v>3372</v>
      </c>
      <c r="L1343" s="1"/>
      <c r="M1343" s="1"/>
      <c r="N1343" s="1"/>
      <c r="O1343" s="1"/>
      <c r="P1343" s="6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customFormat="false" ht="21.75" hidden="false" customHeight="true" outlineLevel="0" collapsed="false">
      <c r="A1344" s="4" t="n">
        <v>43489</v>
      </c>
      <c r="B1344" s="32" t="s">
        <v>166</v>
      </c>
      <c r="C1344" s="8" t="s">
        <v>15</v>
      </c>
      <c r="D1344" s="32" t="s">
        <v>16</v>
      </c>
      <c r="E1344" s="8" t="s">
        <v>17</v>
      </c>
      <c r="F1344" s="8" t="s">
        <v>3375</v>
      </c>
      <c r="G1344" s="8" t="n">
        <f aca="false">+593939654449</f>
        <v>593939654449</v>
      </c>
      <c r="H1344" s="8" t="s">
        <v>3376</v>
      </c>
      <c r="I1344" s="8"/>
      <c r="J1344" s="1"/>
      <c r="K1344" s="1" t="s">
        <v>3377</v>
      </c>
      <c r="L1344" s="1"/>
      <c r="M1344" s="1"/>
      <c r="N1344" s="1"/>
      <c r="O1344" s="1"/>
      <c r="P1344" s="6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customFormat="false" ht="21.75" hidden="false" customHeight="true" outlineLevel="0" collapsed="false">
      <c r="A1345" s="4" t="n">
        <v>43489</v>
      </c>
      <c r="B1345" s="32" t="s">
        <v>166</v>
      </c>
      <c r="C1345" s="8" t="s">
        <v>15</v>
      </c>
      <c r="D1345" s="32" t="s">
        <v>16</v>
      </c>
      <c r="E1345" s="8" t="s">
        <v>17</v>
      </c>
      <c r="F1345" s="8" t="s">
        <v>3378</v>
      </c>
      <c r="G1345" s="8" t="n">
        <f aca="false">+593983960244</f>
        <v>593983960244</v>
      </c>
      <c r="H1345" s="8" t="s">
        <v>3379</v>
      </c>
      <c r="I1345" s="8"/>
      <c r="J1345" s="1"/>
      <c r="K1345" s="1" t="s">
        <v>3380</v>
      </c>
      <c r="L1345" s="1"/>
      <c r="M1345" s="1"/>
      <c r="N1345" s="1"/>
      <c r="O1345" s="1"/>
      <c r="P1345" s="6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customFormat="false" ht="21.75" hidden="false" customHeight="true" outlineLevel="0" collapsed="false">
      <c r="A1346" s="4" t="n">
        <v>43489</v>
      </c>
      <c r="B1346" s="32" t="s">
        <v>166</v>
      </c>
      <c r="C1346" s="8" t="s">
        <v>15</v>
      </c>
      <c r="D1346" s="32" t="s">
        <v>16</v>
      </c>
      <c r="E1346" s="8" t="s">
        <v>17</v>
      </c>
      <c r="F1346" s="8" t="s">
        <v>3381</v>
      </c>
      <c r="G1346" s="8" t="n">
        <f aca="false">+593983606736</f>
        <v>593983606736</v>
      </c>
      <c r="H1346" s="8" t="s">
        <v>3382</v>
      </c>
      <c r="I1346" s="8"/>
      <c r="J1346" s="1"/>
      <c r="K1346" s="1" t="s">
        <v>3372</v>
      </c>
      <c r="L1346" s="1"/>
      <c r="M1346" s="1"/>
      <c r="N1346" s="1"/>
      <c r="O1346" s="1"/>
      <c r="P1346" s="6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customFormat="false" ht="21.75" hidden="false" customHeight="true" outlineLevel="0" collapsed="false">
      <c r="A1347" s="4" t="n">
        <v>43489</v>
      </c>
      <c r="B1347" s="32" t="s">
        <v>166</v>
      </c>
      <c r="C1347" s="8" t="s">
        <v>15</v>
      </c>
      <c r="D1347" s="32" t="s">
        <v>16</v>
      </c>
      <c r="E1347" s="8" t="s">
        <v>17</v>
      </c>
      <c r="F1347" s="8" t="s">
        <v>3383</v>
      </c>
      <c r="G1347" s="8" t="n">
        <f aca="false">+593987842039</f>
        <v>593987842039</v>
      </c>
      <c r="H1347" s="8" t="s">
        <v>3384</v>
      </c>
      <c r="I1347" s="8"/>
      <c r="J1347" s="1"/>
      <c r="K1347" s="1" t="s">
        <v>3380</v>
      </c>
      <c r="L1347" s="1"/>
      <c r="M1347" s="1"/>
      <c r="N1347" s="1"/>
      <c r="O1347" s="1"/>
      <c r="P1347" s="6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customFormat="false" ht="21.75" hidden="false" customHeight="true" outlineLevel="0" collapsed="false">
      <c r="A1348" s="4" t="n">
        <v>43489</v>
      </c>
      <c r="B1348" s="32" t="s">
        <v>166</v>
      </c>
      <c r="C1348" s="8" t="s">
        <v>15</v>
      </c>
      <c r="D1348" s="32" t="s">
        <v>16</v>
      </c>
      <c r="E1348" s="8" t="s">
        <v>17</v>
      </c>
      <c r="F1348" s="8" t="s">
        <v>3385</v>
      </c>
      <c r="G1348" s="8" t="n">
        <f aca="false">+593998445146</f>
        <v>593998445146</v>
      </c>
      <c r="H1348" s="8" t="s">
        <v>3386</v>
      </c>
      <c r="I1348" s="8"/>
      <c r="J1348" s="1"/>
      <c r="K1348" s="1" t="s">
        <v>3387</v>
      </c>
      <c r="L1348" s="1"/>
      <c r="M1348" s="1"/>
      <c r="N1348" s="1"/>
      <c r="O1348" s="1"/>
      <c r="P1348" s="6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customFormat="false" ht="21.75" hidden="false" customHeight="true" outlineLevel="0" collapsed="false">
      <c r="A1349" s="4" t="n">
        <v>43489</v>
      </c>
      <c r="B1349" s="32" t="s">
        <v>166</v>
      </c>
      <c r="C1349" s="8" t="s">
        <v>15</v>
      </c>
      <c r="D1349" s="8" t="s">
        <v>16</v>
      </c>
      <c r="E1349" s="8" t="s">
        <v>17</v>
      </c>
      <c r="F1349" s="39" t="s">
        <v>3388</v>
      </c>
      <c r="G1349" s="32"/>
      <c r="H1349" s="32" t="s">
        <v>3389</v>
      </c>
      <c r="I1349" s="32"/>
      <c r="J1349" s="1"/>
      <c r="K1349" s="1" t="s">
        <v>3390</v>
      </c>
      <c r="L1349" s="1"/>
      <c r="M1349" s="1"/>
      <c r="N1349" s="1"/>
      <c r="O1349" s="1"/>
      <c r="P1349" s="6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customFormat="false" ht="21.75" hidden="false" customHeight="true" outlineLevel="0" collapsed="false">
      <c r="A1350" s="4" t="n">
        <v>43489</v>
      </c>
      <c r="B1350" s="8" t="s">
        <v>323</v>
      </c>
      <c r="C1350" s="8" t="s">
        <v>15</v>
      </c>
      <c r="D1350" s="32" t="s">
        <v>43</v>
      </c>
      <c r="E1350" s="8" t="s">
        <v>109</v>
      </c>
      <c r="F1350" s="8" t="s">
        <v>3391</v>
      </c>
      <c r="G1350" s="8" t="n">
        <f aca="false">+593982930944</f>
        <v>593982930944</v>
      </c>
      <c r="H1350" s="8" t="s">
        <v>3392</v>
      </c>
      <c r="I1350" s="8"/>
      <c r="J1350" s="1"/>
      <c r="K1350" s="1" t="s">
        <v>3372</v>
      </c>
      <c r="L1350" s="1"/>
      <c r="M1350" s="1"/>
      <c r="N1350" s="1"/>
      <c r="O1350" s="1"/>
      <c r="P1350" s="6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customFormat="false" ht="21.75" hidden="false" customHeight="true" outlineLevel="0" collapsed="false">
      <c r="A1351" s="4" t="n">
        <v>43489</v>
      </c>
      <c r="B1351" s="32" t="s">
        <v>323</v>
      </c>
      <c r="C1351" s="8" t="s">
        <v>15</v>
      </c>
      <c r="D1351" s="8" t="s">
        <v>43</v>
      </c>
      <c r="E1351" s="8" t="s">
        <v>109</v>
      </c>
      <c r="F1351" s="39" t="s">
        <v>3393</v>
      </c>
      <c r="G1351" s="32" t="n">
        <v>998993082</v>
      </c>
      <c r="H1351" s="32" t="s">
        <v>3394</v>
      </c>
      <c r="I1351" s="1"/>
      <c r="J1351" s="1"/>
      <c r="K1351" s="1" t="s">
        <v>3372</v>
      </c>
      <c r="L1351" s="1"/>
      <c r="M1351" s="1"/>
      <c r="N1351" s="1"/>
      <c r="O1351" s="1"/>
      <c r="P1351" s="6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customFormat="false" ht="21.75" hidden="false" customHeight="true" outlineLevel="0" collapsed="false">
      <c r="A1352" s="4" t="n">
        <v>43489</v>
      </c>
      <c r="B1352" s="32" t="s">
        <v>323</v>
      </c>
      <c r="C1352" s="8" t="s">
        <v>15</v>
      </c>
      <c r="D1352" s="32" t="s">
        <v>43</v>
      </c>
      <c r="E1352" s="8" t="s">
        <v>109</v>
      </c>
      <c r="F1352" s="39" t="s">
        <v>3395</v>
      </c>
      <c r="G1352" s="32" t="n">
        <v>985455161</v>
      </c>
      <c r="H1352" s="32" t="s">
        <v>3396</v>
      </c>
      <c r="I1352" s="1"/>
      <c r="J1352" s="1"/>
      <c r="K1352" s="1" t="s">
        <v>3372</v>
      </c>
      <c r="L1352" s="1"/>
      <c r="M1352" s="1"/>
      <c r="N1352" s="1"/>
      <c r="O1352" s="1"/>
      <c r="P1352" s="6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customFormat="false" ht="21.75" hidden="false" customHeight="true" outlineLevel="0" collapsed="false">
      <c r="A1353" s="4" t="n">
        <v>43489</v>
      </c>
      <c r="B1353" s="32" t="s">
        <v>323</v>
      </c>
      <c r="C1353" s="8" t="s">
        <v>15</v>
      </c>
      <c r="D1353" s="32" t="s">
        <v>43</v>
      </c>
      <c r="E1353" s="8" t="s">
        <v>109</v>
      </c>
      <c r="F1353" s="39" t="s">
        <v>3397</v>
      </c>
      <c r="G1353" s="32" t="n">
        <v>967586846</v>
      </c>
      <c r="H1353" s="32" t="s">
        <v>3398</v>
      </c>
      <c r="I1353" s="32"/>
      <c r="J1353" s="1"/>
      <c r="K1353" s="1" t="s">
        <v>3372</v>
      </c>
      <c r="L1353" s="1"/>
      <c r="M1353" s="1"/>
      <c r="N1353" s="1"/>
      <c r="O1353" s="1"/>
      <c r="P1353" s="6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customFormat="false" ht="21.75" hidden="false" customHeight="true" outlineLevel="0" collapsed="false">
      <c r="A1354" s="4" t="n">
        <v>43489</v>
      </c>
      <c r="B1354" s="32" t="s">
        <v>323</v>
      </c>
      <c r="C1354" s="8" t="s">
        <v>15</v>
      </c>
      <c r="D1354" s="32" t="s">
        <v>43</v>
      </c>
      <c r="E1354" s="8" t="s">
        <v>109</v>
      </c>
      <c r="F1354" s="39" t="s">
        <v>3397</v>
      </c>
      <c r="G1354" s="32" t="n">
        <v>967586846</v>
      </c>
      <c r="H1354" s="32" t="s">
        <v>3398</v>
      </c>
      <c r="I1354" s="32"/>
      <c r="J1354" s="1"/>
      <c r="K1354" s="1" t="s">
        <v>3399</v>
      </c>
      <c r="L1354" s="1"/>
      <c r="M1354" s="1"/>
      <c r="N1354" s="1"/>
      <c r="O1354" s="1"/>
      <c r="P1354" s="6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customFormat="false" ht="21.75" hidden="false" customHeight="true" outlineLevel="0" collapsed="false">
      <c r="A1355" s="4" t="n">
        <v>43489</v>
      </c>
      <c r="B1355" s="8" t="s">
        <v>1106</v>
      </c>
      <c r="C1355" s="8" t="s">
        <v>15</v>
      </c>
      <c r="D1355" s="32" t="s">
        <v>43</v>
      </c>
      <c r="E1355" s="8" t="s">
        <v>109</v>
      </c>
      <c r="F1355" s="8" t="s">
        <v>3400</v>
      </c>
      <c r="G1355" s="8" t="n">
        <f aca="false">+593984688896</f>
        <v>593984688896</v>
      </c>
      <c r="H1355" s="8" t="s">
        <v>3401</v>
      </c>
      <c r="I1355" s="8"/>
      <c r="J1355" s="1"/>
      <c r="K1355" s="1" t="s">
        <v>3372</v>
      </c>
      <c r="L1355" s="1"/>
      <c r="M1355" s="1"/>
      <c r="N1355" s="1"/>
      <c r="O1355" s="1"/>
      <c r="P1355" s="6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customFormat="false" ht="21.75" hidden="false" customHeight="true" outlineLevel="0" collapsed="false">
      <c r="A1356" s="4" t="n">
        <v>43489</v>
      </c>
      <c r="B1356" s="32" t="s">
        <v>1106</v>
      </c>
      <c r="C1356" s="8" t="s">
        <v>15</v>
      </c>
      <c r="D1356" s="32" t="s">
        <v>43</v>
      </c>
      <c r="E1356" s="8" t="s">
        <v>109</v>
      </c>
      <c r="F1356" s="39" t="s">
        <v>3402</v>
      </c>
      <c r="G1356" s="32" t="n">
        <v>958991655</v>
      </c>
      <c r="H1356" s="32" t="s">
        <v>3403</v>
      </c>
      <c r="I1356" s="1"/>
      <c r="J1356" s="1"/>
      <c r="K1356" s="1" t="s">
        <v>3404</v>
      </c>
      <c r="L1356" s="1"/>
      <c r="M1356" s="1"/>
      <c r="N1356" s="1"/>
      <c r="O1356" s="1"/>
      <c r="P1356" s="6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customFormat="false" ht="21.75" hidden="false" customHeight="true" outlineLevel="0" collapsed="false">
      <c r="A1357" s="4" t="n">
        <v>43489</v>
      </c>
      <c r="B1357" s="8" t="s">
        <v>1478</v>
      </c>
      <c r="C1357" s="8" t="s">
        <v>26</v>
      </c>
      <c r="D1357" s="32" t="s">
        <v>43</v>
      </c>
      <c r="E1357" s="8" t="s">
        <v>109</v>
      </c>
      <c r="F1357" s="8" t="s">
        <v>3405</v>
      </c>
      <c r="G1357" s="8" t="n">
        <f aca="false">+5930939616566</f>
        <v>5930939616566</v>
      </c>
      <c r="H1357" s="8" t="s">
        <v>3406</v>
      </c>
      <c r="I1357" s="8"/>
      <c r="J1357" s="1"/>
      <c r="K1357" s="1" t="s">
        <v>3372</v>
      </c>
      <c r="L1357" s="1"/>
      <c r="M1357" s="1"/>
      <c r="N1357" s="1"/>
      <c r="O1357" s="1"/>
      <c r="P1357" s="6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customFormat="false" ht="21.75" hidden="false" customHeight="true" outlineLevel="0" collapsed="false">
      <c r="A1358" s="4" t="n">
        <v>43489</v>
      </c>
      <c r="B1358" s="8" t="s">
        <v>1478</v>
      </c>
      <c r="C1358" s="8" t="s">
        <v>15</v>
      </c>
      <c r="D1358" s="32" t="s">
        <v>43</v>
      </c>
      <c r="E1358" s="8" t="s">
        <v>109</v>
      </c>
      <c r="F1358" s="8" t="s">
        <v>3407</v>
      </c>
      <c r="G1358" s="8" t="n">
        <f aca="false">+593979424315</f>
        <v>593979424315</v>
      </c>
      <c r="H1358" s="8" t="s">
        <v>3408</v>
      </c>
      <c r="I1358" s="8"/>
      <c r="J1358" s="1"/>
      <c r="K1358" s="1" t="s">
        <v>3372</v>
      </c>
      <c r="L1358" s="1"/>
      <c r="M1358" s="1"/>
      <c r="N1358" s="1"/>
      <c r="O1358" s="1"/>
      <c r="P1358" s="6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customFormat="false" ht="21.75" hidden="false" customHeight="true" outlineLevel="0" collapsed="false">
      <c r="A1359" s="4" t="n">
        <v>43489</v>
      </c>
      <c r="B1359" s="32" t="s">
        <v>1478</v>
      </c>
      <c r="C1359" s="8" t="s">
        <v>15</v>
      </c>
      <c r="D1359" s="8" t="s">
        <v>43</v>
      </c>
      <c r="E1359" s="8" t="s">
        <v>109</v>
      </c>
      <c r="F1359" s="39" t="s">
        <v>3409</v>
      </c>
      <c r="G1359" s="32" t="n">
        <v>996794462</v>
      </c>
      <c r="H1359" s="32" t="s">
        <v>3410</v>
      </c>
      <c r="I1359" s="32"/>
      <c r="J1359" s="1"/>
      <c r="K1359" s="1" t="s">
        <v>3372</v>
      </c>
      <c r="L1359" s="1"/>
      <c r="M1359" s="1"/>
      <c r="N1359" s="1"/>
      <c r="O1359" s="1"/>
      <c r="P1359" s="6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customFormat="false" ht="21.75" hidden="false" customHeight="true" outlineLevel="0" collapsed="false">
      <c r="A1360" s="4" t="n">
        <v>43489</v>
      </c>
      <c r="B1360" s="8" t="s">
        <v>48</v>
      </c>
      <c r="C1360" s="8" t="s">
        <v>15</v>
      </c>
      <c r="D1360" s="32" t="s">
        <v>43</v>
      </c>
      <c r="E1360" s="8" t="s">
        <v>883</v>
      </c>
      <c r="F1360" s="8" t="s">
        <v>3411</v>
      </c>
      <c r="G1360" s="8" t="n">
        <f aca="false">+593991207336</f>
        <v>593991207336</v>
      </c>
      <c r="H1360" s="8" t="s">
        <v>3412</v>
      </c>
      <c r="I1360" s="8"/>
      <c r="J1360" s="1"/>
      <c r="K1360" s="1" t="s">
        <v>3413</v>
      </c>
      <c r="L1360" s="1"/>
      <c r="M1360" s="1"/>
      <c r="N1360" s="1"/>
      <c r="O1360" s="1"/>
      <c r="P1360" s="6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customFormat="false" ht="21.75" hidden="false" customHeight="true" outlineLevel="0" collapsed="false">
      <c r="A1361" s="4" t="n">
        <v>43489</v>
      </c>
      <c r="B1361" s="8" t="s">
        <v>48</v>
      </c>
      <c r="C1361" s="8" t="s">
        <v>15</v>
      </c>
      <c r="D1361" s="32" t="s">
        <v>43</v>
      </c>
      <c r="E1361" s="8" t="s">
        <v>883</v>
      </c>
      <c r="F1361" s="8" t="s">
        <v>3414</v>
      </c>
      <c r="G1361" s="8" t="n">
        <f aca="false">+593992346514</f>
        <v>593992346514</v>
      </c>
      <c r="H1361" s="8" t="s">
        <v>3415</v>
      </c>
      <c r="I1361" s="8"/>
      <c r="J1361" s="1"/>
      <c r="K1361" s="1" t="s">
        <v>3372</v>
      </c>
      <c r="L1361" s="1"/>
      <c r="M1361" s="1"/>
      <c r="N1361" s="1"/>
      <c r="O1361" s="1"/>
      <c r="P1361" s="6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customFormat="false" ht="21.75" hidden="false" customHeight="true" outlineLevel="0" collapsed="false">
      <c r="A1362" s="4" t="n">
        <v>43489</v>
      </c>
      <c r="B1362" s="8" t="s">
        <v>48</v>
      </c>
      <c r="C1362" s="8" t="s">
        <v>15</v>
      </c>
      <c r="D1362" s="32" t="s">
        <v>43</v>
      </c>
      <c r="E1362" s="8" t="s">
        <v>883</v>
      </c>
      <c r="F1362" s="8" t="s">
        <v>3416</v>
      </c>
      <c r="G1362" s="8" t="n">
        <v>983869885</v>
      </c>
      <c r="H1362" s="8" t="s">
        <v>3417</v>
      </c>
      <c r="I1362" s="8"/>
      <c r="J1362" s="1"/>
      <c r="K1362" s="1" t="s">
        <v>3372</v>
      </c>
      <c r="L1362" s="1"/>
      <c r="M1362" s="1"/>
      <c r="N1362" s="1"/>
      <c r="O1362" s="1"/>
      <c r="P1362" s="6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customFormat="false" ht="21.75" hidden="false" customHeight="true" outlineLevel="0" collapsed="false">
      <c r="A1363" s="4" t="n">
        <v>43489</v>
      </c>
      <c r="B1363" s="8" t="s">
        <v>48</v>
      </c>
      <c r="C1363" s="8" t="s">
        <v>15</v>
      </c>
      <c r="D1363" s="32" t="s">
        <v>43</v>
      </c>
      <c r="E1363" s="8" t="s">
        <v>883</v>
      </c>
      <c r="F1363" s="8" t="s">
        <v>3418</v>
      </c>
      <c r="G1363" s="8" t="n">
        <f aca="false">+593995714400</f>
        <v>593995714400</v>
      </c>
      <c r="H1363" s="8" t="s">
        <v>3419</v>
      </c>
      <c r="I1363" s="8"/>
      <c r="J1363" s="1"/>
      <c r="K1363" s="1" t="s">
        <v>3372</v>
      </c>
      <c r="L1363" s="1"/>
      <c r="M1363" s="1"/>
      <c r="N1363" s="1"/>
      <c r="O1363" s="1"/>
      <c r="P1363" s="6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customFormat="false" ht="21.75" hidden="false" customHeight="true" outlineLevel="0" collapsed="false">
      <c r="A1364" s="4" t="n">
        <v>43489</v>
      </c>
      <c r="B1364" s="8" t="s">
        <v>48</v>
      </c>
      <c r="C1364" s="8" t="s">
        <v>15</v>
      </c>
      <c r="D1364" s="32" t="s">
        <v>43</v>
      </c>
      <c r="E1364" s="8" t="s">
        <v>883</v>
      </c>
      <c r="F1364" s="8" t="s">
        <v>2369</v>
      </c>
      <c r="G1364" s="8" t="n">
        <f aca="false">+593987253959</f>
        <v>593987253959</v>
      </c>
      <c r="H1364" s="8" t="s">
        <v>2370</v>
      </c>
      <c r="I1364" s="8"/>
      <c r="J1364" s="1"/>
      <c r="K1364" s="1" t="s">
        <v>3372</v>
      </c>
      <c r="L1364" s="1"/>
      <c r="M1364" s="1"/>
      <c r="N1364" s="1"/>
      <c r="O1364" s="1"/>
      <c r="P1364" s="6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customFormat="false" ht="21.75" hidden="false" customHeight="true" outlineLevel="0" collapsed="false">
      <c r="A1365" s="4" t="n">
        <v>43489</v>
      </c>
      <c r="B1365" s="32" t="s">
        <v>48</v>
      </c>
      <c r="C1365" s="8" t="s">
        <v>15</v>
      </c>
      <c r="D1365" s="8" t="s">
        <v>43</v>
      </c>
      <c r="E1365" s="8" t="s">
        <v>883</v>
      </c>
      <c r="F1365" s="39" t="s">
        <v>3420</v>
      </c>
      <c r="G1365" s="32" t="n">
        <v>991974753</v>
      </c>
      <c r="H1365" s="32" t="s">
        <v>3421</v>
      </c>
      <c r="I1365" s="32"/>
      <c r="J1365" s="1"/>
      <c r="K1365" s="1" t="s">
        <v>3422</v>
      </c>
      <c r="L1365" s="1"/>
      <c r="M1365" s="1"/>
      <c r="N1365" s="1"/>
      <c r="O1365" s="1"/>
      <c r="P1365" s="6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customFormat="false" ht="21.75" hidden="false" customHeight="true" outlineLevel="0" collapsed="false">
      <c r="A1366" s="4" t="n">
        <v>43489</v>
      </c>
      <c r="B1366" s="32" t="s">
        <v>48</v>
      </c>
      <c r="C1366" s="8" t="s">
        <v>15</v>
      </c>
      <c r="D1366" s="32" t="s">
        <v>43</v>
      </c>
      <c r="E1366" s="8" t="s">
        <v>44</v>
      </c>
      <c r="F1366" s="8" t="s">
        <v>3423</v>
      </c>
      <c r="G1366" s="8" t="n">
        <f aca="false">+593998959385</f>
        <v>593998959385</v>
      </c>
      <c r="H1366" s="8" t="s">
        <v>3424</v>
      </c>
      <c r="I1366" s="8"/>
      <c r="J1366" s="1"/>
      <c r="K1366" s="1" t="s">
        <v>58</v>
      </c>
      <c r="L1366" s="1"/>
      <c r="M1366" s="1"/>
      <c r="N1366" s="1"/>
      <c r="O1366" s="1"/>
      <c r="P1366" s="6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customFormat="false" ht="21.75" hidden="false" customHeight="true" outlineLevel="0" collapsed="false">
      <c r="A1367" s="4" t="n">
        <v>43489</v>
      </c>
      <c r="B1367" s="32" t="s">
        <v>48</v>
      </c>
      <c r="C1367" s="8" t="s">
        <v>15</v>
      </c>
      <c r="D1367" s="32" t="s">
        <v>43</v>
      </c>
      <c r="E1367" s="8" t="s">
        <v>44</v>
      </c>
      <c r="F1367" s="8" t="s">
        <v>3425</v>
      </c>
      <c r="G1367" s="8" t="n">
        <f aca="false">+593939798027</f>
        <v>593939798027</v>
      </c>
      <c r="H1367" s="8" t="s">
        <v>3426</v>
      </c>
      <c r="I1367" s="8"/>
      <c r="J1367" s="1"/>
      <c r="K1367" s="1" t="s">
        <v>3372</v>
      </c>
      <c r="L1367" s="1"/>
      <c r="M1367" s="1"/>
      <c r="N1367" s="1"/>
      <c r="O1367" s="1"/>
      <c r="P1367" s="6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customFormat="false" ht="21.75" hidden="false" customHeight="true" outlineLevel="0" collapsed="false">
      <c r="A1368" s="4" t="n">
        <v>43489</v>
      </c>
      <c r="B1368" s="32" t="s">
        <v>48</v>
      </c>
      <c r="C1368" s="8" t="s">
        <v>15</v>
      </c>
      <c r="D1368" s="32" t="s">
        <v>43</v>
      </c>
      <c r="E1368" s="8" t="s">
        <v>44</v>
      </c>
      <c r="F1368" s="8" t="s">
        <v>3427</v>
      </c>
      <c r="G1368" s="8" t="n">
        <f aca="false">+593994236781</f>
        <v>593994236781</v>
      </c>
      <c r="H1368" s="8" t="s">
        <v>3428</v>
      </c>
      <c r="I1368" s="8"/>
      <c r="J1368" s="1"/>
      <c r="K1368" s="1" t="s">
        <v>3372</v>
      </c>
      <c r="L1368" s="1"/>
      <c r="M1368" s="1"/>
      <c r="N1368" s="1"/>
      <c r="O1368" s="1"/>
      <c r="P1368" s="6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customFormat="false" ht="21.75" hidden="false" customHeight="true" outlineLevel="0" collapsed="false">
      <c r="A1369" s="4" t="n">
        <v>43489</v>
      </c>
      <c r="B1369" s="32" t="s">
        <v>48</v>
      </c>
      <c r="C1369" s="8" t="s">
        <v>15</v>
      </c>
      <c r="D1369" s="32" t="s">
        <v>43</v>
      </c>
      <c r="E1369" s="8" t="s">
        <v>44</v>
      </c>
      <c r="F1369" s="8" t="s">
        <v>3429</v>
      </c>
      <c r="G1369" s="8" t="n">
        <f aca="false">+593994919130</f>
        <v>593994919130</v>
      </c>
      <c r="H1369" s="8" t="s">
        <v>3430</v>
      </c>
      <c r="I1369" s="8"/>
      <c r="J1369" s="1"/>
      <c r="K1369" s="1" t="s">
        <v>3372</v>
      </c>
      <c r="L1369" s="1"/>
      <c r="M1369" s="1"/>
      <c r="N1369" s="1"/>
      <c r="O1369" s="1"/>
      <c r="P1369" s="6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customFormat="false" ht="21.75" hidden="false" customHeight="true" outlineLevel="0" collapsed="false">
      <c r="A1370" s="4" t="n">
        <v>43489</v>
      </c>
      <c r="B1370" s="32" t="s">
        <v>48</v>
      </c>
      <c r="C1370" s="8" t="s">
        <v>15</v>
      </c>
      <c r="D1370" s="32" t="s">
        <v>43</v>
      </c>
      <c r="E1370" s="8" t="s">
        <v>44</v>
      </c>
      <c r="F1370" s="8" t="s">
        <v>3431</v>
      </c>
      <c r="G1370" s="8" t="n">
        <f aca="false">+593985235639</f>
        <v>593985235639</v>
      </c>
      <c r="H1370" s="8" t="s">
        <v>3432</v>
      </c>
      <c r="I1370" s="8"/>
      <c r="J1370" s="1"/>
      <c r="K1370" s="1" t="s">
        <v>3372</v>
      </c>
      <c r="L1370" s="1"/>
      <c r="M1370" s="1"/>
      <c r="N1370" s="1"/>
      <c r="O1370" s="1"/>
      <c r="P1370" s="6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customFormat="false" ht="21.75" hidden="false" customHeight="true" outlineLevel="0" collapsed="false">
      <c r="A1371" s="4" t="n">
        <v>43489</v>
      </c>
      <c r="B1371" s="32" t="s">
        <v>48</v>
      </c>
      <c r="C1371" s="8" t="s">
        <v>15</v>
      </c>
      <c r="D1371" s="32" t="s">
        <v>43</v>
      </c>
      <c r="E1371" s="8" t="s">
        <v>44</v>
      </c>
      <c r="F1371" s="8" t="s">
        <v>3433</v>
      </c>
      <c r="G1371" s="8" t="n">
        <f aca="false">+593982577172</f>
        <v>593982577172</v>
      </c>
      <c r="H1371" s="8" t="s">
        <v>3434</v>
      </c>
      <c r="I1371" s="8"/>
      <c r="J1371" s="1"/>
      <c r="K1371" s="1" t="s">
        <v>3372</v>
      </c>
      <c r="L1371" s="1"/>
      <c r="M1371" s="1"/>
      <c r="N1371" s="1"/>
      <c r="O1371" s="1"/>
      <c r="P1371" s="6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customFormat="false" ht="21.75" hidden="false" customHeight="true" outlineLevel="0" collapsed="false">
      <c r="A1372" s="4" t="n">
        <v>43489</v>
      </c>
      <c r="B1372" s="32" t="s">
        <v>48</v>
      </c>
      <c r="C1372" s="8" t="s">
        <v>15</v>
      </c>
      <c r="D1372" s="32" t="s">
        <v>43</v>
      </c>
      <c r="E1372" s="8" t="s">
        <v>44</v>
      </c>
      <c r="F1372" s="8" t="s">
        <v>3435</v>
      </c>
      <c r="G1372" s="8" t="n">
        <f aca="false">+5930967542252</f>
        <v>5930967542252</v>
      </c>
      <c r="H1372" s="8" t="s">
        <v>3436</v>
      </c>
      <c r="I1372" s="8"/>
      <c r="J1372" s="1"/>
      <c r="K1372" s="1" t="s">
        <v>3372</v>
      </c>
      <c r="L1372" s="1"/>
      <c r="M1372" s="1"/>
      <c r="N1372" s="1"/>
      <c r="O1372" s="1"/>
      <c r="P1372" s="6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customFormat="false" ht="21.75" hidden="false" customHeight="true" outlineLevel="0" collapsed="false">
      <c r="A1373" s="4" t="n">
        <v>43489</v>
      </c>
      <c r="B1373" s="32" t="s">
        <v>48</v>
      </c>
      <c r="C1373" s="8" t="s">
        <v>15</v>
      </c>
      <c r="D1373" s="8" t="s">
        <v>43</v>
      </c>
      <c r="E1373" s="8" t="s">
        <v>44</v>
      </c>
      <c r="F1373" s="39" t="s">
        <v>3437</v>
      </c>
      <c r="G1373" s="32" t="n">
        <v>996705122</v>
      </c>
      <c r="H1373" s="32" t="s">
        <v>3438</v>
      </c>
      <c r="I1373" s="32"/>
      <c r="J1373" s="1"/>
      <c r="K1373" s="1" t="s">
        <v>3372</v>
      </c>
      <c r="L1373" s="1"/>
      <c r="M1373" s="1"/>
      <c r="N1373" s="1"/>
      <c r="O1373" s="1"/>
      <c r="P1373" s="6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customFormat="false" ht="21.75" hidden="false" customHeight="true" outlineLevel="0" collapsed="false">
      <c r="A1374" s="4" t="n">
        <v>43489</v>
      </c>
      <c r="B1374" s="8" t="s">
        <v>48</v>
      </c>
      <c r="C1374" s="8" t="s">
        <v>15</v>
      </c>
      <c r="D1374" s="32" t="s">
        <v>43</v>
      </c>
      <c r="E1374" s="8" t="s">
        <v>109</v>
      </c>
      <c r="F1374" s="8" t="s">
        <v>3439</v>
      </c>
      <c r="G1374" s="8" t="n">
        <f aca="false">+593939863624</f>
        <v>593939863624</v>
      </c>
      <c r="H1374" s="8" t="s">
        <v>3440</v>
      </c>
      <c r="I1374" s="8"/>
      <c r="J1374" s="1"/>
      <c r="K1374" s="1" t="s">
        <v>3372</v>
      </c>
      <c r="L1374" s="1"/>
      <c r="M1374" s="1"/>
      <c r="N1374" s="1"/>
      <c r="O1374" s="1"/>
      <c r="P1374" s="6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customFormat="false" ht="21.75" hidden="false" customHeight="true" outlineLevel="0" collapsed="false">
      <c r="A1375" s="4" t="n">
        <v>43489</v>
      </c>
      <c r="B1375" s="8" t="s">
        <v>48</v>
      </c>
      <c r="C1375" s="8" t="s">
        <v>15</v>
      </c>
      <c r="D1375" s="32" t="s">
        <v>43</v>
      </c>
      <c r="E1375" s="8" t="s">
        <v>109</v>
      </c>
      <c r="F1375" s="8" t="s">
        <v>3441</v>
      </c>
      <c r="G1375" s="8" t="n">
        <f aca="false">+593990952284</f>
        <v>593990952284</v>
      </c>
      <c r="H1375" s="8" t="s">
        <v>3442</v>
      </c>
      <c r="I1375" s="8"/>
      <c r="J1375" s="1"/>
      <c r="K1375" s="1" t="s">
        <v>3443</v>
      </c>
      <c r="L1375" s="1"/>
      <c r="M1375" s="1"/>
      <c r="N1375" s="1"/>
      <c r="O1375" s="1"/>
      <c r="P1375" s="6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customFormat="false" ht="21.75" hidden="false" customHeight="true" outlineLevel="0" collapsed="false">
      <c r="A1376" s="4" t="n">
        <v>43489</v>
      </c>
      <c r="B1376" s="8" t="s">
        <v>48</v>
      </c>
      <c r="C1376" s="8" t="s">
        <v>15</v>
      </c>
      <c r="D1376" s="32" t="s">
        <v>43</v>
      </c>
      <c r="E1376" s="8" t="s">
        <v>109</v>
      </c>
      <c r="F1376" s="8" t="s">
        <v>3444</v>
      </c>
      <c r="G1376" s="8" t="n">
        <v>961502095</v>
      </c>
      <c r="H1376" s="8" t="s">
        <v>3445</v>
      </c>
      <c r="I1376" s="8"/>
      <c r="J1376" s="1"/>
      <c r="K1376" s="1" t="s">
        <v>3372</v>
      </c>
      <c r="L1376" s="1"/>
      <c r="M1376" s="1"/>
      <c r="N1376" s="1"/>
      <c r="O1376" s="1"/>
      <c r="P1376" s="6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customFormat="false" ht="21.75" hidden="false" customHeight="true" outlineLevel="0" collapsed="false">
      <c r="A1377" s="4" t="n">
        <v>43489</v>
      </c>
      <c r="B1377" s="8" t="s">
        <v>48</v>
      </c>
      <c r="C1377" s="8" t="s">
        <v>15</v>
      </c>
      <c r="D1377" s="32" t="s">
        <v>43</v>
      </c>
      <c r="E1377" s="8" t="s">
        <v>109</v>
      </c>
      <c r="F1377" s="8" t="s">
        <v>3446</v>
      </c>
      <c r="G1377" s="8" t="n">
        <f aca="false">+593993382145</f>
        <v>593993382145</v>
      </c>
      <c r="H1377" s="8" t="s">
        <v>3447</v>
      </c>
      <c r="I1377" s="8"/>
      <c r="J1377" s="1"/>
      <c r="K1377" s="1" t="s">
        <v>3372</v>
      </c>
      <c r="L1377" s="1"/>
      <c r="M1377" s="1"/>
      <c r="N1377" s="1"/>
      <c r="O1377" s="1"/>
      <c r="P1377" s="6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customFormat="false" ht="21.75" hidden="false" customHeight="true" outlineLevel="0" collapsed="false">
      <c r="A1378" s="4" t="n">
        <v>43489</v>
      </c>
      <c r="B1378" s="8" t="s">
        <v>48</v>
      </c>
      <c r="C1378" s="8" t="s">
        <v>15</v>
      </c>
      <c r="D1378" s="32" t="s">
        <v>43</v>
      </c>
      <c r="E1378" s="8" t="s">
        <v>109</v>
      </c>
      <c r="F1378" s="8" t="s">
        <v>3448</v>
      </c>
      <c r="G1378" s="8" t="n">
        <f aca="false">+5930978608774</f>
        <v>5930978608774</v>
      </c>
      <c r="H1378" s="8" t="s">
        <v>3449</v>
      </c>
      <c r="I1378" s="8"/>
      <c r="J1378" s="1"/>
      <c r="K1378" s="1" t="s">
        <v>3372</v>
      </c>
      <c r="L1378" s="1"/>
      <c r="M1378" s="1"/>
      <c r="N1378" s="1"/>
      <c r="O1378" s="1"/>
      <c r="P1378" s="6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customFormat="false" ht="21.75" hidden="false" customHeight="true" outlineLevel="0" collapsed="false">
      <c r="A1379" s="4" t="n">
        <v>43489</v>
      </c>
      <c r="B1379" s="8" t="s">
        <v>48</v>
      </c>
      <c r="C1379" s="8" t="s">
        <v>15</v>
      </c>
      <c r="D1379" s="32" t="s">
        <v>43</v>
      </c>
      <c r="E1379" s="8" t="s">
        <v>109</v>
      </c>
      <c r="F1379" s="8" t="s">
        <v>3450</v>
      </c>
      <c r="G1379" s="8" t="n">
        <f aca="false">+593992382026</f>
        <v>593992382026</v>
      </c>
      <c r="H1379" s="8" t="s">
        <v>3451</v>
      </c>
      <c r="I1379" s="8"/>
      <c r="J1379" s="1"/>
      <c r="K1379" s="1" t="s">
        <v>3372</v>
      </c>
      <c r="L1379" s="1"/>
      <c r="M1379" s="1"/>
      <c r="N1379" s="1"/>
      <c r="O1379" s="1"/>
      <c r="P1379" s="6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customFormat="false" ht="21.75" hidden="false" customHeight="true" outlineLevel="0" collapsed="false">
      <c r="A1380" s="4" t="n">
        <v>43489</v>
      </c>
      <c r="B1380" s="8" t="s">
        <v>48</v>
      </c>
      <c r="C1380" s="8" t="s">
        <v>15</v>
      </c>
      <c r="D1380" s="32" t="s">
        <v>43</v>
      </c>
      <c r="E1380" s="8" t="s">
        <v>109</v>
      </c>
      <c r="F1380" s="8" t="s">
        <v>3452</v>
      </c>
      <c r="G1380" s="8" t="n">
        <f aca="false">+593982790382</f>
        <v>593982790382</v>
      </c>
      <c r="H1380" s="8" t="s">
        <v>3453</v>
      </c>
      <c r="I1380" s="8"/>
      <c r="J1380" s="1"/>
      <c r="K1380" s="1" t="s">
        <v>58</v>
      </c>
      <c r="L1380" s="1"/>
      <c r="M1380" s="1"/>
      <c r="N1380" s="1"/>
      <c r="O1380" s="1"/>
      <c r="P1380" s="6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customFormat="false" ht="21.75" hidden="false" customHeight="true" outlineLevel="0" collapsed="false">
      <c r="A1381" s="4" t="n">
        <v>43489</v>
      </c>
      <c r="B1381" s="8" t="s">
        <v>48</v>
      </c>
      <c r="C1381" s="8" t="s">
        <v>15</v>
      </c>
      <c r="D1381" s="32" t="s">
        <v>43</v>
      </c>
      <c r="E1381" s="8" t="s">
        <v>109</v>
      </c>
      <c r="F1381" s="8" t="s">
        <v>3454</v>
      </c>
      <c r="G1381" s="8" t="n">
        <f aca="false">+593968973786</f>
        <v>593968973786</v>
      </c>
      <c r="H1381" s="8" t="s">
        <v>3455</v>
      </c>
      <c r="I1381" s="8"/>
      <c r="J1381" s="1"/>
      <c r="K1381" s="1" t="s">
        <v>58</v>
      </c>
      <c r="L1381" s="1"/>
      <c r="M1381" s="1"/>
      <c r="N1381" s="1"/>
      <c r="O1381" s="1"/>
      <c r="P1381" s="6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customFormat="false" ht="21.75" hidden="false" customHeight="true" outlineLevel="0" collapsed="false">
      <c r="A1382" s="4" t="n">
        <v>43489</v>
      </c>
      <c r="B1382" s="8" t="s">
        <v>48</v>
      </c>
      <c r="C1382" s="8" t="s">
        <v>15</v>
      </c>
      <c r="D1382" s="32" t="s">
        <v>43</v>
      </c>
      <c r="E1382" s="8" t="s">
        <v>109</v>
      </c>
      <c r="F1382" s="8" t="s">
        <v>3456</v>
      </c>
      <c r="G1382" s="8" t="n">
        <f aca="false">+593967158446</f>
        <v>593967158446</v>
      </c>
      <c r="H1382" s="8" t="s">
        <v>3457</v>
      </c>
      <c r="I1382" s="8"/>
      <c r="J1382" s="1"/>
      <c r="K1382" s="1" t="s">
        <v>3372</v>
      </c>
      <c r="L1382" s="1"/>
      <c r="M1382" s="1"/>
      <c r="N1382" s="1"/>
      <c r="O1382" s="1"/>
      <c r="P1382" s="6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customFormat="false" ht="21.75" hidden="false" customHeight="true" outlineLevel="0" collapsed="false">
      <c r="A1383" s="4" t="n">
        <v>43489</v>
      </c>
      <c r="B1383" s="8" t="s">
        <v>48</v>
      </c>
      <c r="C1383" s="8" t="s">
        <v>15</v>
      </c>
      <c r="D1383" s="32" t="s">
        <v>43</v>
      </c>
      <c r="E1383" s="8" t="s">
        <v>109</v>
      </c>
      <c r="F1383" s="8" t="s">
        <v>3458</v>
      </c>
      <c r="G1383" s="8" t="n">
        <v>986338582</v>
      </c>
      <c r="H1383" s="8" t="s">
        <v>3459</v>
      </c>
      <c r="I1383" s="8"/>
      <c r="J1383" s="1"/>
      <c r="K1383" s="1" t="s">
        <v>3460</v>
      </c>
      <c r="L1383" s="1"/>
      <c r="M1383" s="1"/>
      <c r="N1383" s="1"/>
      <c r="O1383" s="1"/>
      <c r="P1383" s="6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customFormat="false" ht="21.75" hidden="false" customHeight="true" outlineLevel="0" collapsed="false">
      <c r="A1384" s="4" t="n">
        <v>43489</v>
      </c>
      <c r="B1384" s="32" t="s">
        <v>48</v>
      </c>
      <c r="C1384" s="8" t="s">
        <v>15</v>
      </c>
      <c r="D1384" s="8" t="s">
        <v>43</v>
      </c>
      <c r="E1384" s="8" t="s">
        <v>109</v>
      </c>
      <c r="F1384" s="39" t="s">
        <v>2024</v>
      </c>
      <c r="G1384" s="32" t="n">
        <v>996323762</v>
      </c>
      <c r="H1384" s="32" t="s">
        <v>2025</v>
      </c>
      <c r="I1384" s="32"/>
      <c r="J1384" s="1"/>
      <c r="K1384" s="1" t="s">
        <v>3461</v>
      </c>
      <c r="L1384" s="1"/>
      <c r="M1384" s="1"/>
      <c r="N1384" s="1"/>
      <c r="O1384" s="1"/>
      <c r="P1384" s="6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customFormat="false" ht="21.75" hidden="false" customHeight="true" outlineLevel="0" collapsed="false">
      <c r="A1385" s="4" t="n">
        <v>43489</v>
      </c>
      <c r="B1385" s="32" t="s">
        <v>48</v>
      </c>
      <c r="C1385" s="8" t="s">
        <v>15</v>
      </c>
      <c r="D1385" s="8" t="s">
        <v>43</v>
      </c>
      <c r="E1385" s="8" t="s">
        <v>109</v>
      </c>
      <c r="F1385" s="39" t="s">
        <v>3462</v>
      </c>
      <c r="G1385" s="32" t="n">
        <v>993157916</v>
      </c>
      <c r="H1385" s="32" t="s">
        <v>3463</v>
      </c>
      <c r="I1385" s="32"/>
      <c r="J1385" s="1"/>
      <c r="K1385" s="1" t="s">
        <v>3372</v>
      </c>
      <c r="L1385" s="1"/>
      <c r="M1385" s="1"/>
      <c r="N1385" s="1"/>
      <c r="O1385" s="1"/>
      <c r="P1385" s="6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customFormat="false" ht="21.75" hidden="false" customHeight="true" outlineLevel="0" collapsed="false">
      <c r="A1386" s="4" t="n">
        <v>43489</v>
      </c>
      <c r="B1386" s="32" t="s">
        <v>48</v>
      </c>
      <c r="C1386" s="8" t="s">
        <v>15</v>
      </c>
      <c r="D1386" s="8" t="s">
        <v>43</v>
      </c>
      <c r="E1386" s="8" t="s">
        <v>109</v>
      </c>
      <c r="F1386" s="39" t="s">
        <v>3464</v>
      </c>
      <c r="G1386" s="32" t="n">
        <v>994891226</v>
      </c>
      <c r="H1386" s="32" t="s">
        <v>3465</v>
      </c>
      <c r="I1386" s="32"/>
      <c r="J1386" s="1"/>
      <c r="K1386" s="1" t="s">
        <v>3372</v>
      </c>
      <c r="L1386" s="1"/>
      <c r="M1386" s="1"/>
      <c r="N1386" s="1"/>
      <c r="O1386" s="1"/>
      <c r="P1386" s="6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customFormat="false" ht="21.75" hidden="false" customHeight="true" outlineLevel="0" collapsed="false">
      <c r="A1387" s="4" t="n">
        <v>43489</v>
      </c>
      <c r="B1387" s="32" t="s">
        <v>48</v>
      </c>
      <c r="C1387" s="8" t="s">
        <v>15</v>
      </c>
      <c r="D1387" s="8" t="s">
        <v>43</v>
      </c>
      <c r="E1387" s="8" t="s">
        <v>109</v>
      </c>
      <c r="F1387" s="39" t="s">
        <v>3466</v>
      </c>
      <c r="G1387" s="32" t="n">
        <v>978844224</v>
      </c>
      <c r="H1387" s="32" t="s">
        <v>3467</v>
      </c>
      <c r="I1387" s="32"/>
      <c r="J1387" s="1"/>
      <c r="K1387" s="1" t="s">
        <v>58</v>
      </c>
      <c r="L1387" s="1"/>
      <c r="M1387" s="1"/>
      <c r="N1387" s="1"/>
      <c r="O1387" s="1"/>
      <c r="P1387" s="6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customFormat="false" ht="21.75" hidden="false" customHeight="true" outlineLevel="0" collapsed="false">
      <c r="A1388" s="4" t="n">
        <v>43489</v>
      </c>
      <c r="B1388" s="32" t="s">
        <v>48</v>
      </c>
      <c r="C1388" s="8" t="s">
        <v>15</v>
      </c>
      <c r="D1388" s="8" t="s">
        <v>43</v>
      </c>
      <c r="E1388" s="8" t="s">
        <v>109</v>
      </c>
      <c r="F1388" s="39" t="s">
        <v>3121</v>
      </c>
      <c r="G1388" s="32" t="n">
        <v>999453751</v>
      </c>
      <c r="H1388" s="32" t="s">
        <v>3468</v>
      </c>
      <c r="I1388" s="32"/>
      <c r="J1388" s="1"/>
      <c r="K1388" s="1" t="s">
        <v>3372</v>
      </c>
      <c r="L1388" s="1"/>
      <c r="M1388" s="1"/>
      <c r="N1388" s="1"/>
      <c r="O1388" s="1"/>
      <c r="P1388" s="6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customFormat="false" ht="21.75" hidden="false" customHeight="true" outlineLevel="0" collapsed="false">
      <c r="A1389" s="4" t="n">
        <v>43489</v>
      </c>
      <c r="B1389" s="32" t="s">
        <v>48</v>
      </c>
      <c r="C1389" s="8" t="s">
        <v>15</v>
      </c>
      <c r="D1389" s="8" t="s">
        <v>43</v>
      </c>
      <c r="E1389" s="8" t="s">
        <v>109</v>
      </c>
      <c r="F1389" s="39" t="s">
        <v>3469</v>
      </c>
      <c r="G1389" s="32" t="n">
        <v>989483579</v>
      </c>
      <c r="H1389" s="32" t="s">
        <v>3470</v>
      </c>
      <c r="I1389" s="32"/>
      <c r="J1389" s="1"/>
      <c r="K1389" s="1" t="s">
        <v>3372</v>
      </c>
      <c r="L1389" s="1"/>
      <c r="M1389" s="1"/>
      <c r="N1389" s="1"/>
      <c r="O1389" s="1"/>
      <c r="P1389" s="6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customFormat="false" ht="21.75" hidden="false" customHeight="true" outlineLevel="0" collapsed="false">
      <c r="A1390" s="4" t="n">
        <v>43489</v>
      </c>
      <c r="B1390" s="32" t="s">
        <v>48</v>
      </c>
      <c r="C1390" s="8" t="s">
        <v>15</v>
      </c>
      <c r="D1390" s="8" t="s">
        <v>43</v>
      </c>
      <c r="E1390" s="8" t="s">
        <v>109</v>
      </c>
      <c r="F1390" s="39" t="s">
        <v>3471</v>
      </c>
      <c r="G1390" s="32" t="n">
        <v>999454394</v>
      </c>
      <c r="H1390" s="32" t="s">
        <v>3472</v>
      </c>
      <c r="I1390" s="32"/>
      <c r="J1390" s="1"/>
      <c r="K1390" s="1" t="s">
        <v>3372</v>
      </c>
      <c r="L1390" s="1"/>
      <c r="M1390" s="1"/>
      <c r="N1390" s="1"/>
      <c r="O1390" s="1"/>
      <c r="P1390" s="6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customFormat="false" ht="21.75" hidden="false" customHeight="true" outlineLevel="0" collapsed="false">
      <c r="A1391" s="4" t="n">
        <v>43489</v>
      </c>
      <c r="B1391" s="32" t="s">
        <v>48</v>
      </c>
      <c r="C1391" s="8" t="s">
        <v>15</v>
      </c>
      <c r="D1391" s="8" t="s">
        <v>43</v>
      </c>
      <c r="E1391" s="8" t="s">
        <v>109</v>
      </c>
      <c r="F1391" s="39" t="s">
        <v>3473</v>
      </c>
      <c r="G1391" s="32" t="n">
        <v>939056397</v>
      </c>
      <c r="H1391" s="32" t="s">
        <v>3474</v>
      </c>
      <c r="I1391" s="32"/>
      <c r="J1391" s="1"/>
      <c r="K1391" s="1" t="s">
        <v>3372</v>
      </c>
      <c r="L1391" s="1"/>
      <c r="M1391" s="1"/>
      <c r="N1391" s="1"/>
      <c r="O1391" s="1"/>
      <c r="P1391" s="6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customFormat="false" ht="21.75" hidden="false" customHeight="true" outlineLevel="0" collapsed="false">
      <c r="A1392" s="4" t="n">
        <v>43489</v>
      </c>
      <c r="B1392" s="32" t="s">
        <v>48</v>
      </c>
      <c r="C1392" s="8" t="s">
        <v>15</v>
      </c>
      <c r="D1392" s="8" t="s">
        <v>43</v>
      </c>
      <c r="E1392" s="8" t="s">
        <v>109</v>
      </c>
      <c r="F1392" s="39" t="s">
        <v>3475</v>
      </c>
      <c r="G1392" s="32" t="n">
        <v>989814435</v>
      </c>
      <c r="H1392" s="32" t="s">
        <v>3476</v>
      </c>
      <c r="I1392" s="32"/>
      <c r="J1392" s="1"/>
      <c r="K1392" s="1" t="s">
        <v>3372</v>
      </c>
      <c r="L1392" s="1"/>
      <c r="M1392" s="1"/>
      <c r="N1392" s="1"/>
      <c r="O1392" s="1"/>
      <c r="P1392" s="6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customFormat="false" ht="21.75" hidden="false" customHeight="true" outlineLevel="0" collapsed="false">
      <c r="A1393" s="4" t="n">
        <v>43489</v>
      </c>
      <c r="B1393" s="32" t="s">
        <v>48</v>
      </c>
      <c r="C1393" s="8" t="s">
        <v>15</v>
      </c>
      <c r="D1393" s="8" t="s">
        <v>43</v>
      </c>
      <c r="E1393" s="8" t="s">
        <v>109</v>
      </c>
      <c r="F1393" s="39" t="s">
        <v>3477</v>
      </c>
      <c r="G1393" s="32" t="n">
        <v>967287062</v>
      </c>
      <c r="H1393" s="32" t="s">
        <v>3478</v>
      </c>
      <c r="I1393" s="1"/>
      <c r="J1393" s="1"/>
      <c r="K1393" s="1" t="s">
        <v>3372</v>
      </c>
      <c r="L1393" s="1"/>
      <c r="M1393" s="1"/>
      <c r="N1393" s="1"/>
      <c r="O1393" s="1"/>
      <c r="P1393" s="6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customFormat="false" ht="21.75" hidden="false" customHeight="true" outlineLevel="0" collapsed="false">
      <c r="A1394" s="4" t="n">
        <v>43489</v>
      </c>
      <c r="B1394" s="32" t="s">
        <v>48</v>
      </c>
      <c r="C1394" s="8" t="s">
        <v>15</v>
      </c>
      <c r="D1394" s="32" t="s">
        <v>43</v>
      </c>
      <c r="E1394" s="8" t="s">
        <v>109</v>
      </c>
      <c r="F1394" s="39" t="s">
        <v>3479</v>
      </c>
      <c r="G1394" s="32" t="n">
        <v>985687192</v>
      </c>
      <c r="H1394" s="32" t="s">
        <v>3480</v>
      </c>
      <c r="I1394" s="1"/>
      <c r="J1394" s="1"/>
      <c r="K1394" s="1" t="s">
        <v>3372</v>
      </c>
      <c r="L1394" s="1"/>
      <c r="M1394" s="1"/>
      <c r="N1394" s="1"/>
      <c r="O1394" s="1"/>
      <c r="P1394" s="6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customFormat="false" ht="21.75" hidden="false" customHeight="true" outlineLevel="0" collapsed="false">
      <c r="A1395" s="4" t="n">
        <v>43489</v>
      </c>
      <c r="B1395" s="32" t="s">
        <v>48</v>
      </c>
      <c r="C1395" s="8" t="s">
        <v>15</v>
      </c>
      <c r="D1395" s="32" t="s">
        <v>43</v>
      </c>
      <c r="E1395" s="8" t="s">
        <v>109</v>
      </c>
      <c r="F1395" s="39" t="s">
        <v>3481</v>
      </c>
      <c r="G1395" s="32" t="n">
        <v>968164715</v>
      </c>
      <c r="H1395" s="32" t="s">
        <v>3482</v>
      </c>
      <c r="I1395" s="1"/>
      <c r="J1395" s="1"/>
      <c r="K1395" s="1" t="s">
        <v>3483</v>
      </c>
      <c r="L1395" s="1"/>
      <c r="M1395" s="1"/>
      <c r="N1395" s="1"/>
      <c r="O1395" s="1"/>
      <c r="P1395" s="6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customFormat="false" ht="21.75" hidden="false" customHeight="true" outlineLevel="0" collapsed="false">
      <c r="A1396" s="4" t="n">
        <v>43489</v>
      </c>
      <c r="B1396" s="32" t="s">
        <v>48</v>
      </c>
      <c r="C1396" s="8" t="s">
        <v>15</v>
      </c>
      <c r="D1396" s="32" t="s">
        <v>43</v>
      </c>
      <c r="E1396" s="8" t="s">
        <v>109</v>
      </c>
      <c r="F1396" s="39" t="s">
        <v>3484</v>
      </c>
      <c r="G1396" s="32" t="n">
        <v>994994080</v>
      </c>
      <c r="H1396" s="40" t="s">
        <v>3485</v>
      </c>
      <c r="I1396" s="1"/>
      <c r="J1396" s="1"/>
      <c r="K1396" s="1" t="s">
        <v>3486</v>
      </c>
      <c r="L1396" s="1"/>
      <c r="M1396" s="1"/>
      <c r="N1396" s="1"/>
      <c r="O1396" s="1"/>
      <c r="P1396" s="6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customFormat="false" ht="21.75" hidden="false" customHeight="true" outlineLevel="0" collapsed="false">
      <c r="A1397" s="4" t="n">
        <v>43489</v>
      </c>
      <c r="B1397" s="32" t="s">
        <v>48</v>
      </c>
      <c r="C1397" s="8" t="s">
        <v>15</v>
      </c>
      <c r="D1397" s="32" t="s">
        <v>43</v>
      </c>
      <c r="E1397" s="8" t="s">
        <v>109</v>
      </c>
      <c r="F1397" s="32" t="s">
        <v>3487</v>
      </c>
      <c r="G1397" s="18" t="n">
        <v>989758874</v>
      </c>
      <c r="H1397" s="32" t="s">
        <v>3488</v>
      </c>
      <c r="I1397" s="32"/>
      <c r="J1397" s="1"/>
      <c r="K1397" s="1" t="s">
        <v>3372</v>
      </c>
      <c r="L1397" s="1"/>
      <c r="M1397" s="1"/>
      <c r="N1397" s="1"/>
      <c r="O1397" s="1"/>
      <c r="P1397" s="6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customFormat="false" ht="21.75" hidden="false" customHeight="true" outlineLevel="0" collapsed="false">
      <c r="A1398" s="4" t="n">
        <v>43489</v>
      </c>
      <c r="B1398" s="32" t="s">
        <v>48</v>
      </c>
      <c r="C1398" s="8" t="s">
        <v>15</v>
      </c>
      <c r="D1398" s="32" t="s">
        <v>43</v>
      </c>
      <c r="E1398" s="8" t="s">
        <v>109</v>
      </c>
      <c r="F1398" s="32" t="s">
        <v>3487</v>
      </c>
      <c r="G1398" s="18" t="n">
        <v>989758874</v>
      </c>
      <c r="H1398" s="32" t="s">
        <v>3488</v>
      </c>
      <c r="I1398" s="32"/>
      <c r="J1398" s="1"/>
      <c r="K1398" s="1" t="s">
        <v>3372</v>
      </c>
      <c r="L1398" s="1"/>
      <c r="M1398" s="1"/>
      <c r="N1398" s="1"/>
      <c r="O1398" s="1"/>
      <c r="P1398" s="6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customFormat="false" ht="21.75" hidden="false" customHeight="true" outlineLevel="0" collapsed="false">
      <c r="A1399" s="4" t="n">
        <v>43489</v>
      </c>
      <c r="B1399" s="8" t="s">
        <v>532</v>
      </c>
      <c r="C1399" s="8" t="s">
        <v>15</v>
      </c>
      <c r="D1399" s="32" t="s">
        <v>43</v>
      </c>
      <c r="E1399" s="8" t="s">
        <v>109</v>
      </c>
      <c r="F1399" s="8" t="s">
        <v>3489</v>
      </c>
      <c r="G1399" s="8" t="n">
        <f aca="false">+593986766239</f>
        <v>593986766239</v>
      </c>
      <c r="H1399" s="8" t="s">
        <v>3490</v>
      </c>
      <c r="I1399" s="8"/>
      <c r="J1399" s="1"/>
      <c r="K1399" s="1" t="s">
        <v>3491</v>
      </c>
      <c r="L1399" s="1"/>
      <c r="M1399" s="1"/>
      <c r="N1399" s="1"/>
      <c r="O1399" s="1"/>
      <c r="P1399" s="6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customFormat="false" ht="21.75" hidden="false" customHeight="true" outlineLevel="0" collapsed="false">
      <c r="A1400" s="4" t="n">
        <v>43489</v>
      </c>
      <c r="B1400" s="8" t="s">
        <v>532</v>
      </c>
      <c r="C1400" s="8" t="s">
        <v>15</v>
      </c>
      <c r="D1400" s="32" t="s">
        <v>43</v>
      </c>
      <c r="E1400" s="8" t="s">
        <v>109</v>
      </c>
      <c r="F1400" s="8" t="s">
        <v>3492</v>
      </c>
      <c r="G1400" s="8" t="n">
        <f aca="false">+593994076561</f>
        <v>593994076561</v>
      </c>
      <c r="H1400" s="8" t="s">
        <v>3493</v>
      </c>
      <c r="I1400" s="8"/>
      <c r="J1400" s="1"/>
      <c r="K1400" s="1" t="s">
        <v>3494</v>
      </c>
      <c r="L1400" s="1"/>
      <c r="M1400" s="1"/>
      <c r="N1400" s="1"/>
      <c r="O1400" s="1"/>
      <c r="P1400" s="6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customFormat="false" ht="21.75" hidden="false" customHeight="true" outlineLevel="0" collapsed="false">
      <c r="A1401" s="4" t="n">
        <v>43489</v>
      </c>
      <c r="B1401" s="8" t="s">
        <v>127</v>
      </c>
      <c r="C1401" s="8" t="s">
        <v>15</v>
      </c>
      <c r="D1401" s="32" t="s">
        <v>43</v>
      </c>
      <c r="E1401" s="8" t="s">
        <v>883</v>
      </c>
      <c r="F1401" s="8" t="s">
        <v>3495</v>
      </c>
      <c r="G1401" s="8" t="n">
        <f aca="false">+593982903308</f>
        <v>593982903308</v>
      </c>
      <c r="H1401" s="8" t="s">
        <v>3496</v>
      </c>
      <c r="I1401" s="8"/>
      <c r="J1401" s="1"/>
      <c r="K1401" s="1" t="s">
        <v>3494</v>
      </c>
      <c r="L1401" s="1"/>
      <c r="M1401" s="1"/>
      <c r="N1401" s="1"/>
      <c r="O1401" s="1"/>
      <c r="P1401" s="6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customFormat="false" ht="21.75" hidden="false" customHeight="true" outlineLevel="0" collapsed="false">
      <c r="A1402" s="4" t="n">
        <v>43489</v>
      </c>
      <c r="B1402" s="32" t="s">
        <v>127</v>
      </c>
      <c r="C1402" s="8" t="s">
        <v>15</v>
      </c>
      <c r="D1402" s="32" t="s">
        <v>43</v>
      </c>
      <c r="E1402" s="8" t="s">
        <v>44</v>
      </c>
      <c r="F1402" s="8" t="s">
        <v>3497</v>
      </c>
      <c r="G1402" s="8" t="n">
        <f aca="false">+593984683735</f>
        <v>593984683735</v>
      </c>
      <c r="H1402" s="8" t="s">
        <v>3498</v>
      </c>
      <c r="I1402" s="8"/>
      <c r="J1402" s="1"/>
      <c r="K1402" s="1" t="s">
        <v>3494</v>
      </c>
      <c r="L1402" s="1"/>
      <c r="M1402" s="1"/>
      <c r="N1402" s="1"/>
      <c r="O1402" s="1"/>
      <c r="P1402" s="6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customFormat="false" ht="21.75" hidden="false" customHeight="true" outlineLevel="0" collapsed="false">
      <c r="A1403" s="4" t="n">
        <v>43489</v>
      </c>
      <c r="B1403" s="32" t="s">
        <v>127</v>
      </c>
      <c r="C1403" s="8" t="s">
        <v>15</v>
      </c>
      <c r="D1403" s="8" t="s">
        <v>43</v>
      </c>
      <c r="E1403" s="8" t="s">
        <v>44</v>
      </c>
      <c r="F1403" s="39" t="s">
        <v>3499</v>
      </c>
      <c r="G1403" s="32" t="n">
        <v>968285983</v>
      </c>
      <c r="H1403" s="32" t="s">
        <v>3500</v>
      </c>
      <c r="I1403" s="32"/>
      <c r="J1403" s="1"/>
      <c r="K1403" s="1" t="s">
        <v>3501</v>
      </c>
      <c r="L1403" s="1"/>
      <c r="M1403" s="1"/>
      <c r="N1403" s="1"/>
      <c r="O1403" s="1"/>
      <c r="P1403" s="6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customFormat="false" ht="21.75" hidden="false" customHeight="true" outlineLevel="0" collapsed="false">
      <c r="A1404" s="4" t="n">
        <v>43489</v>
      </c>
      <c r="B1404" s="8" t="s">
        <v>127</v>
      </c>
      <c r="C1404" s="8" t="s">
        <v>15</v>
      </c>
      <c r="D1404" s="32" t="s">
        <v>43</v>
      </c>
      <c r="E1404" s="8" t="s">
        <v>109</v>
      </c>
      <c r="F1404" s="8" t="s">
        <v>3502</v>
      </c>
      <c r="G1404" s="8" t="n">
        <f aca="false">+593988439869</f>
        <v>593988439869</v>
      </c>
      <c r="H1404" s="8" t="s">
        <v>3503</v>
      </c>
      <c r="I1404" s="8"/>
      <c r="J1404" s="1"/>
      <c r="K1404" s="1" t="s">
        <v>3504</v>
      </c>
      <c r="L1404" s="1"/>
      <c r="M1404" s="1"/>
      <c r="N1404" s="1"/>
      <c r="O1404" s="1"/>
      <c r="P1404" s="6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customFormat="false" ht="21.75" hidden="false" customHeight="true" outlineLevel="0" collapsed="false">
      <c r="A1405" s="4" t="n">
        <v>43489</v>
      </c>
      <c r="B1405" s="32" t="s">
        <v>127</v>
      </c>
      <c r="C1405" s="8" t="s">
        <v>15</v>
      </c>
      <c r="D1405" s="8" t="s">
        <v>43</v>
      </c>
      <c r="E1405" s="8" t="s">
        <v>109</v>
      </c>
      <c r="F1405" s="39" t="s">
        <v>3395</v>
      </c>
      <c r="G1405" s="32" t="n">
        <v>985455161</v>
      </c>
      <c r="H1405" s="32" t="s">
        <v>3396</v>
      </c>
      <c r="I1405" s="32"/>
      <c r="J1405" s="1"/>
      <c r="K1405" s="1" t="s">
        <v>3494</v>
      </c>
      <c r="L1405" s="1"/>
      <c r="M1405" s="1"/>
      <c r="N1405" s="1"/>
      <c r="O1405" s="1"/>
      <c r="P1405" s="6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customFormat="false" ht="21.75" hidden="false" customHeight="true" outlineLevel="0" collapsed="false">
      <c r="A1406" s="4" t="n">
        <v>43489</v>
      </c>
      <c r="B1406" s="8" t="s">
        <v>1114</v>
      </c>
      <c r="C1406" s="8" t="s">
        <v>15</v>
      </c>
      <c r="D1406" s="32" t="s">
        <v>43</v>
      </c>
      <c r="E1406" s="8" t="s">
        <v>883</v>
      </c>
      <c r="F1406" s="8" t="s">
        <v>3505</v>
      </c>
      <c r="G1406" s="8" t="n">
        <f aca="false">+593991193320</f>
        <v>593991193320</v>
      </c>
      <c r="H1406" s="8" t="s">
        <v>3506</v>
      </c>
      <c r="I1406" s="8"/>
      <c r="J1406" s="1"/>
      <c r="K1406" s="1" t="s">
        <v>3372</v>
      </c>
      <c r="L1406" s="1"/>
      <c r="M1406" s="1"/>
      <c r="N1406" s="1"/>
      <c r="O1406" s="1"/>
      <c r="P1406" s="6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customFormat="false" ht="21.75" hidden="false" customHeight="true" outlineLevel="0" collapsed="false">
      <c r="A1407" s="4" t="n">
        <v>43489</v>
      </c>
      <c r="B1407" s="8" t="s">
        <v>1114</v>
      </c>
      <c r="C1407" s="8" t="s">
        <v>15</v>
      </c>
      <c r="D1407" s="32" t="s">
        <v>43</v>
      </c>
      <c r="E1407" s="8" t="s">
        <v>883</v>
      </c>
      <c r="F1407" s="8" t="s">
        <v>3507</v>
      </c>
      <c r="G1407" s="8" t="n">
        <f aca="false">+593969578672</f>
        <v>593969578672</v>
      </c>
      <c r="H1407" s="8" t="s">
        <v>3508</v>
      </c>
      <c r="I1407" s="8"/>
      <c r="J1407" s="1"/>
      <c r="K1407" s="1" t="s">
        <v>3509</v>
      </c>
      <c r="L1407" s="1"/>
      <c r="M1407" s="1"/>
      <c r="N1407" s="1"/>
      <c r="O1407" s="1"/>
      <c r="P1407" s="6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customFormat="false" ht="21.75" hidden="false" customHeight="true" outlineLevel="0" collapsed="false">
      <c r="A1408" s="4" t="n">
        <v>43489</v>
      </c>
      <c r="B1408" s="8" t="s">
        <v>1114</v>
      </c>
      <c r="C1408" s="8" t="s">
        <v>15</v>
      </c>
      <c r="D1408" s="32" t="s">
        <v>43</v>
      </c>
      <c r="E1408" s="8" t="s">
        <v>883</v>
      </c>
      <c r="F1408" s="8" t="s">
        <v>3510</v>
      </c>
      <c r="G1408" s="8" t="n">
        <f aca="false">+5930958729888</f>
        <v>5930958729888</v>
      </c>
      <c r="H1408" s="8" t="s">
        <v>3511</v>
      </c>
      <c r="I1408" s="8"/>
      <c r="J1408" s="1"/>
      <c r="K1408" s="1" t="s">
        <v>3512</v>
      </c>
      <c r="L1408" s="1"/>
      <c r="M1408" s="1"/>
      <c r="N1408" s="1"/>
      <c r="O1408" s="1"/>
      <c r="P1408" s="6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customFormat="false" ht="21.75" hidden="false" customHeight="true" outlineLevel="0" collapsed="false">
      <c r="A1409" s="4" t="n">
        <v>43489</v>
      </c>
      <c r="B1409" s="8" t="s">
        <v>1114</v>
      </c>
      <c r="C1409" s="8" t="s">
        <v>15</v>
      </c>
      <c r="D1409" s="32" t="s">
        <v>43</v>
      </c>
      <c r="E1409" s="8" t="s">
        <v>883</v>
      </c>
      <c r="F1409" s="8" t="s">
        <v>3237</v>
      </c>
      <c r="G1409" s="8" t="n">
        <f aca="false">+593982990691</f>
        <v>593982990691</v>
      </c>
      <c r="H1409" s="8" t="s">
        <v>3513</v>
      </c>
      <c r="I1409" s="8"/>
      <c r="J1409" s="1"/>
      <c r="K1409" s="1" t="s">
        <v>3494</v>
      </c>
      <c r="L1409" s="1"/>
      <c r="M1409" s="1"/>
      <c r="N1409" s="1"/>
      <c r="O1409" s="1"/>
      <c r="P1409" s="6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customFormat="false" ht="21.75" hidden="false" customHeight="true" outlineLevel="0" collapsed="false">
      <c r="A1410" s="4" t="n">
        <v>43489</v>
      </c>
      <c r="B1410" s="32" t="s">
        <v>1114</v>
      </c>
      <c r="C1410" s="8" t="s">
        <v>15</v>
      </c>
      <c r="D1410" s="32" t="s">
        <v>43</v>
      </c>
      <c r="E1410" s="8" t="s">
        <v>883</v>
      </c>
      <c r="F1410" s="39" t="s">
        <v>3514</v>
      </c>
      <c r="G1410" s="32" t="n">
        <v>989697002</v>
      </c>
      <c r="H1410" s="32" t="s">
        <v>3515</v>
      </c>
      <c r="I1410" s="32"/>
      <c r="J1410" s="1"/>
      <c r="K1410" s="1" t="s">
        <v>3372</v>
      </c>
      <c r="L1410" s="1"/>
      <c r="M1410" s="1"/>
      <c r="N1410" s="1"/>
      <c r="O1410" s="1"/>
      <c r="P1410" s="6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customFormat="false" ht="21.75" hidden="false" customHeight="true" outlineLevel="0" collapsed="false">
      <c r="A1411" s="4" t="n">
        <v>43489</v>
      </c>
      <c r="B1411" s="32" t="s">
        <v>1114</v>
      </c>
      <c r="C1411" s="8" t="s">
        <v>15</v>
      </c>
      <c r="D1411" s="32" t="s">
        <v>43</v>
      </c>
      <c r="E1411" s="8" t="s">
        <v>883</v>
      </c>
      <c r="F1411" s="39" t="s">
        <v>3514</v>
      </c>
      <c r="G1411" s="32" t="n">
        <v>989697002</v>
      </c>
      <c r="H1411" s="32" t="s">
        <v>3515</v>
      </c>
      <c r="I1411" s="32"/>
      <c r="J1411" s="1"/>
      <c r="K1411" s="1" t="s">
        <v>3494</v>
      </c>
      <c r="L1411" s="1"/>
      <c r="M1411" s="1"/>
      <c r="N1411" s="1"/>
      <c r="O1411" s="1"/>
      <c r="P1411" s="6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customFormat="false" ht="21.75" hidden="false" customHeight="true" outlineLevel="0" collapsed="false">
      <c r="A1412" s="4" t="n">
        <v>43489</v>
      </c>
      <c r="B1412" s="8" t="s">
        <v>1114</v>
      </c>
      <c r="C1412" s="8" t="s">
        <v>26</v>
      </c>
      <c r="D1412" s="32" t="s">
        <v>43</v>
      </c>
      <c r="E1412" s="8" t="s">
        <v>109</v>
      </c>
      <c r="F1412" s="8" t="s">
        <v>3516</v>
      </c>
      <c r="G1412" s="8" t="n">
        <f aca="false">+593979935528</f>
        <v>593979935528</v>
      </c>
      <c r="H1412" s="8" t="s">
        <v>3517</v>
      </c>
      <c r="I1412" s="8"/>
      <c r="J1412" s="1"/>
      <c r="K1412" s="1" t="s">
        <v>3518</v>
      </c>
      <c r="L1412" s="1"/>
      <c r="M1412" s="1"/>
      <c r="N1412" s="1"/>
      <c r="O1412" s="1"/>
      <c r="P1412" s="6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customFormat="false" ht="21.75" hidden="false" customHeight="true" outlineLevel="0" collapsed="false">
      <c r="A1413" s="4" t="n">
        <v>43489</v>
      </c>
      <c r="B1413" s="8" t="s">
        <v>1114</v>
      </c>
      <c r="C1413" s="8" t="s">
        <v>15</v>
      </c>
      <c r="D1413" s="32" t="s">
        <v>43</v>
      </c>
      <c r="E1413" s="8" t="s">
        <v>109</v>
      </c>
      <c r="F1413" s="8" t="s">
        <v>3519</v>
      </c>
      <c r="G1413" s="8" t="n">
        <f aca="false">+593939268134</f>
        <v>593939268134</v>
      </c>
      <c r="H1413" s="8" t="s">
        <v>3520</v>
      </c>
      <c r="I1413" s="8"/>
      <c r="J1413" s="1"/>
      <c r="K1413" s="1" t="s">
        <v>3521</v>
      </c>
      <c r="L1413" s="1"/>
      <c r="M1413" s="1"/>
      <c r="N1413" s="1"/>
      <c r="O1413" s="1"/>
      <c r="P1413" s="6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customFormat="false" ht="21.75" hidden="false" customHeight="true" outlineLevel="0" collapsed="false">
      <c r="A1414" s="4" t="n">
        <v>43489</v>
      </c>
      <c r="B1414" s="8" t="s">
        <v>1114</v>
      </c>
      <c r="C1414" s="8" t="s">
        <v>15</v>
      </c>
      <c r="D1414" s="32" t="s">
        <v>43</v>
      </c>
      <c r="E1414" s="8" t="s">
        <v>109</v>
      </c>
      <c r="F1414" s="8" t="s">
        <v>3522</v>
      </c>
      <c r="G1414" s="8" t="n">
        <f aca="false">+593969948037</f>
        <v>593969948037</v>
      </c>
      <c r="H1414" s="8" t="s">
        <v>3523</v>
      </c>
      <c r="I1414" s="8"/>
      <c r="J1414" s="1"/>
      <c r="K1414" s="1" t="s">
        <v>3494</v>
      </c>
      <c r="L1414" s="1"/>
      <c r="M1414" s="1"/>
      <c r="N1414" s="1"/>
      <c r="O1414" s="1"/>
      <c r="P1414" s="6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customFormat="false" ht="21.75" hidden="false" customHeight="true" outlineLevel="0" collapsed="false">
      <c r="A1415" s="4" t="n">
        <v>43489</v>
      </c>
      <c r="B1415" s="8" t="s">
        <v>1114</v>
      </c>
      <c r="C1415" s="8" t="s">
        <v>15</v>
      </c>
      <c r="D1415" s="32" t="s">
        <v>43</v>
      </c>
      <c r="E1415" s="8" t="s">
        <v>109</v>
      </c>
      <c r="F1415" s="8" t="s">
        <v>3524</v>
      </c>
      <c r="G1415" s="8" t="n">
        <f aca="false">+593999306843</f>
        <v>593999306843</v>
      </c>
      <c r="H1415" s="8" t="s">
        <v>3525</v>
      </c>
      <c r="I1415" s="8"/>
      <c r="J1415" s="1"/>
      <c r="K1415" s="1" t="s">
        <v>3494</v>
      </c>
      <c r="L1415" s="1"/>
      <c r="M1415" s="1"/>
      <c r="N1415" s="1"/>
      <c r="O1415" s="1"/>
      <c r="P1415" s="6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customFormat="false" ht="21.75" hidden="false" customHeight="true" outlineLevel="0" collapsed="false">
      <c r="A1416" s="4" t="n">
        <v>43489</v>
      </c>
      <c r="B1416" s="8" t="s">
        <v>1114</v>
      </c>
      <c r="C1416" s="8" t="s">
        <v>15</v>
      </c>
      <c r="D1416" s="32" t="s">
        <v>43</v>
      </c>
      <c r="E1416" s="8" t="s">
        <v>109</v>
      </c>
      <c r="F1416" s="8" t="s">
        <v>3526</v>
      </c>
      <c r="G1416" s="8" t="n">
        <f aca="false">+593978981792</f>
        <v>593978981792</v>
      </c>
      <c r="H1416" s="8" t="s">
        <v>3527</v>
      </c>
      <c r="I1416" s="8"/>
      <c r="J1416" s="1"/>
      <c r="K1416" s="1" t="s">
        <v>3494</v>
      </c>
      <c r="L1416" s="1"/>
      <c r="M1416" s="1"/>
      <c r="N1416" s="1"/>
      <c r="O1416" s="1"/>
      <c r="P1416" s="6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customFormat="false" ht="21.75" hidden="false" customHeight="true" outlineLevel="0" collapsed="false">
      <c r="A1417" s="4" t="n">
        <v>43489</v>
      </c>
      <c r="B1417" s="8" t="s">
        <v>1114</v>
      </c>
      <c r="C1417" s="8" t="s">
        <v>15</v>
      </c>
      <c r="D1417" s="32" t="s">
        <v>43</v>
      </c>
      <c r="E1417" s="8" t="s">
        <v>109</v>
      </c>
      <c r="F1417" s="8" t="s">
        <v>3528</v>
      </c>
      <c r="G1417" s="8" t="n">
        <f aca="false">+5930989173280</f>
        <v>5930989173280</v>
      </c>
      <c r="H1417" s="8" t="s">
        <v>3529</v>
      </c>
      <c r="I1417" s="8"/>
      <c r="J1417" s="1"/>
      <c r="K1417" s="1" t="s">
        <v>3494</v>
      </c>
      <c r="L1417" s="1"/>
      <c r="M1417" s="1"/>
      <c r="N1417" s="1"/>
      <c r="O1417" s="1"/>
      <c r="P1417" s="6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customFormat="false" ht="21.75" hidden="false" customHeight="true" outlineLevel="0" collapsed="false">
      <c r="A1418" s="4" t="n">
        <v>43489</v>
      </c>
      <c r="B1418" s="8" t="s">
        <v>1114</v>
      </c>
      <c r="C1418" s="8" t="s">
        <v>15</v>
      </c>
      <c r="D1418" s="32" t="s">
        <v>43</v>
      </c>
      <c r="E1418" s="8" t="s">
        <v>109</v>
      </c>
      <c r="F1418" s="8" t="s">
        <v>3530</v>
      </c>
      <c r="G1418" s="8" t="n">
        <f aca="false">+593999875039</f>
        <v>593999875039</v>
      </c>
      <c r="H1418" s="8" t="s">
        <v>3531</v>
      </c>
      <c r="I1418" s="8"/>
      <c r="J1418" s="1"/>
      <c r="K1418" s="1" t="s">
        <v>3494</v>
      </c>
      <c r="L1418" s="1"/>
      <c r="M1418" s="1"/>
      <c r="N1418" s="1"/>
      <c r="O1418" s="1"/>
      <c r="P1418" s="6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customFormat="false" ht="21.75" hidden="false" customHeight="true" outlineLevel="0" collapsed="false">
      <c r="A1419" s="4" t="n">
        <v>43489</v>
      </c>
      <c r="B1419" s="8" t="s">
        <v>1114</v>
      </c>
      <c r="C1419" s="8" t="s">
        <v>15</v>
      </c>
      <c r="D1419" s="32" t="s">
        <v>43</v>
      </c>
      <c r="E1419" s="8" t="s">
        <v>109</v>
      </c>
      <c r="F1419" s="8" t="s">
        <v>3532</v>
      </c>
      <c r="G1419" s="8" t="n">
        <f aca="false">+593991189219</f>
        <v>593991189219</v>
      </c>
      <c r="H1419" s="8" t="s">
        <v>3533</v>
      </c>
      <c r="I1419" s="8"/>
      <c r="J1419" s="1"/>
      <c r="K1419" s="1" t="s">
        <v>3380</v>
      </c>
      <c r="L1419" s="1"/>
      <c r="M1419" s="1"/>
      <c r="N1419" s="1"/>
      <c r="O1419" s="1"/>
      <c r="P1419" s="6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customFormat="false" ht="21.75" hidden="false" customHeight="true" outlineLevel="0" collapsed="false">
      <c r="A1420" s="4" t="n">
        <v>43489</v>
      </c>
      <c r="B1420" s="8" t="s">
        <v>1114</v>
      </c>
      <c r="C1420" s="8" t="s">
        <v>15</v>
      </c>
      <c r="D1420" s="32" t="s">
        <v>43</v>
      </c>
      <c r="E1420" s="8" t="s">
        <v>109</v>
      </c>
      <c r="F1420" s="8" t="s">
        <v>3534</v>
      </c>
      <c r="G1420" s="8" t="n">
        <f aca="false">+593990675770</f>
        <v>593990675770</v>
      </c>
      <c r="H1420" s="8" t="s">
        <v>3535</v>
      </c>
      <c r="I1420" s="8"/>
      <c r="J1420" s="1"/>
      <c r="K1420" s="1" t="s">
        <v>3494</v>
      </c>
      <c r="L1420" s="1"/>
      <c r="M1420" s="1"/>
      <c r="N1420" s="1"/>
      <c r="O1420" s="1"/>
      <c r="P1420" s="6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customFormat="false" ht="21.75" hidden="false" customHeight="true" outlineLevel="0" collapsed="false">
      <c r="A1421" s="4" t="n">
        <v>43489</v>
      </c>
      <c r="B1421" s="8" t="s">
        <v>1114</v>
      </c>
      <c r="C1421" s="8" t="s">
        <v>15</v>
      </c>
      <c r="D1421" s="32" t="s">
        <v>43</v>
      </c>
      <c r="E1421" s="8" t="s">
        <v>109</v>
      </c>
      <c r="F1421" s="8" t="s">
        <v>3536</v>
      </c>
      <c r="G1421" s="8" t="n">
        <f aca="false">+593989873399</f>
        <v>593989873399</v>
      </c>
      <c r="H1421" s="8" t="s">
        <v>3537</v>
      </c>
      <c r="I1421" s="8"/>
      <c r="J1421" s="1"/>
      <c r="K1421" s="1" t="s">
        <v>3538</v>
      </c>
      <c r="L1421" s="1"/>
      <c r="M1421" s="1"/>
      <c r="N1421" s="1"/>
      <c r="O1421" s="1"/>
      <c r="P1421" s="6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customFormat="false" ht="21.75" hidden="false" customHeight="true" outlineLevel="0" collapsed="false">
      <c r="A1422" s="4" t="n">
        <v>43489</v>
      </c>
      <c r="B1422" s="8" t="s">
        <v>1114</v>
      </c>
      <c r="C1422" s="8" t="s">
        <v>26</v>
      </c>
      <c r="D1422" s="32" t="s">
        <v>43</v>
      </c>
      <c r="E1422" s="8" t="s">
        <v>109</v>
      </c>
      <c r="F1422" s="8" t="s">
        <v>3539</v>
      </c>
      <c r="G1422" s="8" t="n">
        <f aca="false">+5930939402542</f>
        <v>5930939402542</v>
      </c>
      <c r="H1422" s="8" t="s">
        <v>3540</v>
      </c>
      <c r="I1422" s="8"/>
      <c r="J1422" s="1"/>
      <c r="K1422" s="1" t="s">
        <v>3372</v>
      </c>
      <c r="L1422" s="1"/>
      <c r="M1422" s="1"/>
      <c r="N1422" s="1"/>
      <c r="O1422" s="1"/>
      <c r="P1422" s="6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customFormat="false" ht="21.75" hidden="false" customHeight="true" outlineLevel="0" collapsed="false">
      <c r="A1423" s="4" t="n">
        <v>43489</v>
      </c>
      <c r="B1423" s="32" t="s">
        <v>1114</v>
      </c>
      <c r="C1423" s="8" t="s">
        <v>15</v>
      </c>
      <c r="D1423" s="32" t="s">
        <v>43</v>
      </c>
      <c r="E1423" s="8" t="s">
        <v>109</v>
      </c>
      <c r="F1423" s="39" t="s">
        <v>3541</v>
      </c>
      <c r="G1423" s="32" t="n">
        <v>980813798</v>
      </c>
      <c r="H1423" s="32" t="s">
        <v>3542</v>
      </c>
      <c r="I1423" s="32"/>
      <c r="J1423" s="1"/>
      <c r="K1423" s="1" t="s">
        <v>3518</v>
      </c>
      <c r="L1423" s="1"/>
      <c r="M1423" s="1"/>
      <c r="N1423" s="1"/>
      <c r="O1423" s="1"/>
      <c r="P1423" s="6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customFormat="false" ht="21.75" hidden="false" customHeight="true" outlineLevel="0" collapsed="false">
      <c r="A1424" s="4" t="n">
        <v>43489</v>
      </c>
      <c r="B1424" s="32" t="s">
        <v>415</v>
      </c>
      <c r="C1424" s="8" t="s">
        <v>15</v>
      </c>
      <c r="D1424" s="32" t="s">
        <v>43</v>
      </c>
      <c r="E1424" s="8" t="s">
        <v>44</v>
      </c>
      <c r="F1424" s="8" t="s">
        <v>3543</v>
      </c>
      <c r="G1424" s="8" t="n">
        <f aca="false">+593993293406</f>
        <v>593993293406</v>
      </c>
      <c r="H1424" s="8" t="s">
        <v>3544</v>
      </c>
      <c r="I1424" s="8"/>
      <c r="J1424" s="1"/>
      <c r="K1424" s="1" t="s">
        <v>3545</v>
      </c>
      <c r="L1424" s="1"/>
      <c r="M1424" s="1"/>
      <c r="N1424" s="1"/>
      <c r="O1424" s="1"/>
      <c r="P1424" s="6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customFormat="false" ht="21.75" hidden="false" customHeight="true" outlineLevel="0" collapsed="false">
      <c r="A1425" s="4" t="n">
        <v>43489</v>
      </c>
      <c r="B1425" s="32" t="s">
        <v>415</v>
      </c>
      <c r="C1425" s="8" t="s">
        <v>26</v>
      </c>
      <c r="D1425" s="32" t="s">
        <v>43</v>
      </c>
      <c r="E1425" s="8" t="s">
        <v>44</v>
      </c>
      <c r="F1425" s="8" t="s">
        <v>3546</v>
      </c>
      <c r="G1425" s="8" t="n">
        <f aca="false">+593987848964</f>
        <v>593987848964</v>
      </c>
      <c r="H1425" s="8" t="s">
        <v>3547</v>
      </c>
      <c r="I1425" s="8"/>
      <c r="J1425" s="1"/>
      <c r="K1425" s="1" t="s">
        <v>3548</v>
      </c>
      <c r="L1425" s="1"/>
      <c r="M1425" s="1"/>
      <c r="N1425" s="1"/>
      <c r="O1425" s="1"/>
      <c r="P1425" s="6" t="s">
        <v>31</v>
      </c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customFormat="false" ht="21.75" hidden="false" customHeight="true" outlineLevel="0" collapsed="false">
      <c r="A1426" s="4" t="n">
        <v>43489</v>
      </c>
      <c r="B1426" s="32" t="s">
        <v>415</v>
      </c>
      <c r="C1426" s="8" t="s">
        <v>15</v>
      </c>
      <c r="D1426" s="32" t="s">
        <v>43</v>
      </c>
      <c r="E1426" s="8" t="s">
        <v>44</v>
      </c>
      <c r="F1426" s="8" t="s">
        <v>3549</v>
      </c>
      <c r="G1426" s="8" t="n">
        <f aca="false">+5930992717125</f>
        <v>5930992717125</v>
      </c>
      <c r="H1426" s="8" t="s">
        <v>3550</v>
      </c>
      <c r="I1426" s="8"/>
      <c r="J1426" s="1"/>
      <c r="K1426" s="1" t="s">
        <v>3494</v>
      </c>
      <c r="L1426" s="1"/>
      <c r="M1426" s="1"/>
      <c r="N1426" s="1"/>
      <c r="O1426" s="1"/>
      <c r="P1426" s="6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customFormat="false" ht="21.75" hidden="false" customHeight="true" outlineLevel="0" collapsed="false">
      <c r="A1427" s="4" t="n">
        <v>43489</v>
      </c>
      <c r="B1427" s="32" t="s">
        <v>415</v>
      </c>
      <c r="C1427" s="8" t="s">
        <v>15</v>
      </c>
      <c r="D1427" s="32" t="s">
        <v>43</v>
      </c>
      <c r="E1427" s="8" t="s">
        <v>44</v>
      </c>
      <c r="F1427" s="8" t="s">
        <v>3551</v>
      </c>
      <c r="G1427" s="8" t="n">
        <f aca="false">+5930939170826</f>
        <v>5930939170826</v>
      </c>
      <c r="H1427" s="8" t="s">
        <v>3552</v>
      </c>
      <c r="I1427" s="8"/>
      <c r="J1427" s="1"/>
      <c r="K1427" s="1" t="s">
        <v>3494</v>
      </c>
      <c r="L1427" s="1"/>
      <c r="M1427" s="1"/>
      <c r="N1427" s="1"/>
      <c r="O1427" s="1"/>
      <c r="P1427" s="6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customFormat="false" ht="21.75" hidden="false" customHeight="true" outlineLevel="0" collapsed="false">
      <c r="A1428" s="4" t="n">
        <v>43489</v>
      </c>
      <c r="B1428" s="8" t="s">
        <v>352</v>
      </c>
      <c r="C1428" s="8" t="s">
        <v>15</v>
      </c>
      <c r="D1428" s="32" t="s">
        <v>43</v>
      </c>
      <c r="E1428" s="8" t="s">
        <v>883</v>
      </c>
      <c r="F1428" s="8" t="s">
        <v>3553</v>
      </c>
      <c r="G1428" s="8" t="n">
        <f aca="false">+5930988080680</f>
        <v>5930988080680</v>
      </c>
      <c r="H1428" s="8" t="s">
        <v>3554</v>
      </c>
      <c r="I1428" s="8"/>
      <c r="J1428" s="1"/>
      <c r="K1428" s="1" t="s">
        <v>3555</v>
      </c>
      <c r="L1428" s="1"/>
      <c r="M1428" s="1"/>
      <c r="N1428" s="1"/>
      <c r="O1428" s="1"/>
      <c r="P1428" s="6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customFormat="false" ht="21.75" hidden="false" customHeight="true" outlineLevel="0" collapsed="false">
      <c r="A1429" s="4" t="n">
        <v>43489</v>
      </c>
      <c r="B1429" s="8" t="s">
        <v>352</v>
      </c>
      <c r="C1429" s="8" t="s">
        <v>15</v>
      </c>
      <c r="D1429" s="32" t="s">
        <v>43</v>
      </c>
      <c r="E1429" s="8" t="s">
        <v>883</v>
      </c>
      <c r="F1429" s="8" t="s">
        <v>3556</v>
      </c>
      <c r="G1429" s="8" t="n">
        <f aca="false">+5930987940778</f>
        <v>5930987940778</v>
      </c>
      <c r="H1429" s="8" t="s">
        <v>3557</v>
      </c>
      <c r="I1429" s="8"/>
      <c r="J1429" s="1"/>
      <c r="K1429" s="1" t="s">
        <v>3494</v>
      </c>
      <c r="L1429" s="1"/>
      <c r="M1429" s="1"/>
      <c r="N1429" s="1"/>
      <c r="O1429" s="1"/>
      <c r="P1429" s="6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customFormat="false" ht="21.75" hidden="false" customHeight="true" outlineLevel="0" collapsed="false">
      <c r="A1430" s="4" t="n">
        <v>43489</v>
      </c>
      <c r="B1430" s="8" t="s">
        <v>352</v>
      </c>
      <c r="C1430" s="8" t="s">
        <v>15</v>
      </c>
      <c r="D1430" s="32" t="s">
        <v>43</v>
      </c>
      <c r="E1430" s="8" t="s">
        <v>883</v>
      </c>
      <c r="F1430" s="8" t="s">
        <v>3558</v>
      </c>
      <c r="G1430" s="8" t="n">
        <f aca="false">+593988947074</f>
        <v>593988947074</v>
      </c>
      <c r="H1430" s="8" t="s">
        <v>3559</v>
      </c>
      <c r="I1430" s="8"/>
      <c r="J1430" s="1"/>
      <c r="K1430" s="1" t="s">
        <v>3494</v>
      </c>
      <c r="L1430" s="1"/>
      <c r="M1430" s="1"/>
      <c r="N1430" s="1"/>
      <c r="O1430" s="1"/>
      <c r="P1430" s="6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customFormat="false" ht="21.75" hidden="false" customHeight="true" outlineLevel="0" collapsed="false">
      <c r="A1431" s="4" t="n">
        <v>43489</v>
      </c>
      <c r="B1431" s="8" t="s">
        <v>352</v>
      </c>
      <c r="C1431" s="8" t="s">
        <v>15</v>
      </c>
      <c r="D1431" s="32" t="s">
        <v>43</v>
      </c>
      <c r="E1431" s="8" t="s">
        <v>883</v>
      </c>
      <c r="F1431" s="8" t="s">
        <v>3560</v>
      </c>
      <c r="G1431" s="8" t="n">
        <v>995529404</v>
      </c>
      <c r="H1431" s="8" t="s">
        <v>3561</v>
      </c>
      <c r="I1431" s="8"/>
      <c r="J1431" s="1"/>
      <c r="K1431" s="1" t="s">
        <v>3562</v>
      </c>
      <c r="L1431" s="1"/>
      <c r="M1431" s="1"/>
      <c r="N1431" s="1"/>
      <c r="O1431" s="1"/>
      <c r="P1431" s="6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customFormat="false" ht="21.75" hidden="false" customHeight="true" outlineLevel="0" collapsed="false">
      <c r="A1432" s="4" t="n">
        <v>43489</v>
      </c>
      <c r="B1432" s="8" t="s">
        <v>352</v>
      </c>
      <c r="C1432" s="8" t="s">
        <v>15</v>
      </c>
      <c r="D1432" s="32" t="s">
        <v>43</v>
      </c>
      <c r="E1432" s="8" t="s">
        <v>883</v>
      </c>
      <c r="F1432" s="8" t="s">
        <v>3563</v>
      </c>
      <c r="G1432" s="8" t="n">
        <f aca="false">+593980985229</f>
        <v>593980985229</v>
      </c>
      <c r="H1432" s="8" t="s">
        <v>3564</v>
      </c>
      <c r="I1432" s="8"/>
      <c r="J1432" s="1"/>
      <c r="K1432" s="1" t="s">
        <v>31</v>
      </c>
      <c r="L1432" s="1"/>
      <c r="M1432" s="1"/>
      <c r="N1432" s="1"/>
      <c r="O1432" s="1"/>
      <c r="P1432" s="6" t="s">
        <v>31</v>
      </c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customFormat="false" ht="21.75" hidden="false" customHeight="true" outlineLevel="0" collapsed="false">
      <c r="A1433" s="4" t="n">
        <v>43489</v>
      </c>
      <c r="B1433" s="32" t="s">
        <v>352</v>
      </c>
      <c r="C1433" s="8" t="s">
        <v>15</v>
      </c>
      <c r="D1433" s="8" t="s">
        <v>43</v>
      </c>
      <c r="E1433" s="8" t="s">
        <v>883</v>
      </c>
      <c r="F1433" s="39" t="s">
        <v>3565</v>
      </c>
      <c r="G1433" s="32" t="n">
        <v>992692910</v>
      </c>
      <c r="H1433" s="32" t="s">
        <v>3566</v>
      </c>
      <c r="I1433" s="32"/>
      <c r="J1433" s="1"/>
      <c r="K1433" s="1" t="s">
        <v>3377</v>
      </c>
      <c r="L1433" s="1"/>
      <c r="M1433" s="1"/>
      <c r="N1433" s="1"/>
      <c r="O1433" s="1"/>
      <c r="P1433" s="6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customFormat="false" ht="21.75" hidden="false" customHeight="true" outlineLevel="0" collapsed="false">
      <c r="A1434" s="4" t="n">
        <v>43489</v>
      </c>
      <c r="B1434" s="8" t="s">
        <v>352</v>
      </c>
      <c r="C1434" s="8" t="s">
        <v>15</v>
      </c>
      <c r="D1434" s="32" t="s">
        <v>43</v>
      </c>
      <c r="E1434" s="8" t="s">
        <v>109</v>
      </c>
      <c r="F1434" s="8" t="s">
        <v>3567</v>
      </c>
      <c r="G1434" s="8" t="n">
        <f aca="false">+593969537137</f>
        <v>593969537137</v>
      </c>
      <c r="H1434" s="8" t="s">
        <v>3568</v>
      </c>
      <c r="I1434" s="8"/>
      <c r="J1434" s="1"/>
      <c r="K1434" s="1" t="s">
        <v>3569</v>
      </c>
      <c r="L1434" s="1"/>
      <c r="M1434" s="1"/>
      <c r="N1434" s="1"/>
      <c r="O1434" s="1"/>
      <c r="P1434" s="6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customFormat="false" ht="21.75" hidden="false" customHeight="true" outlineLevel="0" collapsed="false">
      <c r="A1435" s="4" t="n">
        <v>43489</v>
      </c>
      <c r="B1435" s="8" t="s">
        <v>352</v>
      </c>
      <c r="C1435" s="8" t="s">
        <v>15</v>
      </c>
      <c r="D1435" s="32" t="s">
        <v>43</v>
      </c>
      <c r="E1435" s="8" t="s">
        <v>109</v>
      </c>
      <c r="F1435" s="8" t="s">
        <v>3570</v>
      </c>
      <c r="G1435" s="8" t="n">
        <f aca="false">+5930967219830</f>
        <v>5930967219830</v>
      </c>
      <c r="H1435" s="8" t="s">
        <v>3571</v>
      </c>
      <c r="I1435" s="8"/>
      <c r="J1435" s="1"/>
      <c r="K1435" s="1" t="s">
        <v>3494</v>
      </c>
      <c r="L1435" s="1"/>
      <c r="M1435" s="1"/>
      <c r="N1435" s="1"/>
      <c r="O1435" s="1"/>
      <c r="P1435" s="6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customFormat="false" ht="21.75" hidden="false" customHeight="true" outlineLevel="0" collapsed="false">
      <c r="A1436" s="4" t="n">
        <v>43489</v>
      </c>
      <c r="B1436" s="32" t="s">
        <v>352</v>
      </c>
      <c r="C1436" s="8" t="s">
        <v>15</v>
      </c>
      <c r="D1436" s="32" t="s">
        <v>43</v>
      </c>
      <c r="E1436" s="8" t="s">
        <v>109</v>
      </c>
      <c r="F1436" s="39" t="s">
        <v>3572</v>
      </c>
      <c r="G1436" s="32" t="n">
        <v>969750716</v>
      </c>
      <c r="H1436" s="32" t="s">
        <v>3573</v>
      </c>
      <c r="I1436" s="1"/>
      <c r="J1436" s="1"/>
      <c r="K1436" s="1" t="s">
        <v>3574</v>
      </c>
      <c r="L1436" s="1"/>
      <c r="M1436" s="1"/>
      <c r="N1436" s="1"/>
      <c r="O1436" s="1"/>
      <c r="P1436" s="6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customFormat="false" ht="21.75" hidden="false" customHeight="true" outlineLevel="0" collapsed="false">
      <c r="A1437" s="4" t="n">
        <v>43489</v>
      </c>
      <c r="B1437" s="32" t="s">
        <v>178</v>
      </c>
      <c r="C1437" s="8" t="s">
        <v>15</v>
      </c>
      <c r="D1437" s="32" t="s">
        <v>43</v>
      </c>
      <c r="E1437" s="8" t="s">
        <v>44</v>
      </c>
      <c r="F1437" s="8" t="s">
        <v>3575</v>
      </c>
      <c r="G1437" s="8" t="n">
        <f aca="false">+593981821650</f>
        <v>593981821650</v>
      </c>
      <c r="H1437" s="8" t="s">
        <v>3576</v>
      </c>
      <c r="I1437" s="8"/>
      <c r="J1437" s="1"/>
      <c r="K1437" s="1" t="s">
        <v>58</v>
      </c>
      <c r="L1437" s="1"/>
      <c r="M1437" s="1"/>
      <c r="N1437" s="1"/>
      <c r="O1437" s="1"/>
      <c r="P1437" s="6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customFormat="false" ht="21.75" hidden="false" customHeight="true" outlineLevel="0" collapsed="false">
      <c r="A1438" s="4" t="n">
        <v>43489</v>
      </c>
      <c r="B1438" s="32" t="s">
        <v>178</v>
      </c>
      <c r="C1438" s="8" t="s">
        <v>15</v>
      </c>
      <c r="D1438" s="32" t="s">
        <v>43</v>
      </c>
      <c r="E1438" s="8" t="s">
        <v>44</v>
      </c>
      <c r="F1438" s="8" t="s">
        <v>3577</v>
      </c>
      <c r="G1438" s="8" t="n">
        <f aca="false">+593983116113</f>
        <v>593983116113</v>
      </c>
      <c r="H1438" s="8" t="s">
        <v>3578</v>
      </c>
      <c r="I1438" s="8"/>
      <c r="J1438" s="1"/>
      <c r="K1438" s="1" t="s">
        <v>3380</v>
      </c>
      <c r="L1438" s="1"/>
      <c r="M1438" s="1"/>
      <c r="N1438" s="1"/>
      <c r="O1438" s="1"/>
      <c r="P1438" s="6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customFormat="false" ht="21.75" hidden="false" customHeight="true" outlineLevel="0" collapsed="false">
      <c r="A1439" s="4" t="n">
        <v>43489</v>
      </c>
      <c r="B1439" s="32" t="s">
        <v>178</v>
      </c>
      <c r="C1439" s="8" t="s">
        <v>15</v>
      </c>
      <c r="D1439" s="32" t="s">
        <v>43</v>
      </c>
      <c r="E1439" s="8" t="s">
        <v>44</v>
      </c>
      <c r="F1439" s="8" t="s">
        <v>3579</v>
      </c>
      <c r="G1439" s="8" t="n">
        <f aca="false">+593989035287</f>
        <v>593989035287</v>
      </c>
      <c r="H1439" s="8" t="s">
        <v>3580</v>
      </c>
      <c r="I1439" s="8"/>
      <c r="J1439" s="1"/>
      <c r="K1439" s="1" t="s">
        <v>3581</v>
      </c>
      <c r="L1439" s="1"/>
      <c r="M1439" s="1"/>
      <c r="N1439" s="1"/>
      <c r="O1439" s="1"/>
      <c r="P1439" s="6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customFormat="false" ht="21.75" hidden="false" customHeight="true" outlineLevel="0" collapsed="false">
      <c r="A1440" s="4" t="n">
        <v>43489</v>
      </c>
      <c r="B1440" s="32" t="s">
        <v>178</v>
      </c>
      <c r="C1440" s="8" t="s">
        <v>15</v>
      </c>
      <c r="D1440" s="32" t="s">
        <v>43</v>
      </c>
      <c r="E1440" s="8" t="s">
        <v>44</v>
      </c>
      <c r="F1440" s="8" t="s">
        <v>3582</v>
      </c>
      <c r="G1440" s="8" t="n">
        <f aca="false">+593989932165</f>
        <v>593989932165</v>
      </c>
      <c r="H1440" s="8" t="s">
        <v>3583</v>
      </c>
      <c r="I1440" s="8"/>
      <c r="J1440" s="1"/>
      <c r="K1440" s="1" t="s">
        <v>3494</v>
      </c>
      <c r="L1440" s="1"/>
      <c r="M1440" s="1"/>
      <c r="N1440" s="1"/>
      <c r="O1440" s="1"/>
      <c r="P1440" s="6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customFormat="false" ht="21.75" hidden="false" customHeight="true" outlineLevel="0" collapsed="false">
      <c r="A1441" s="4" t="n">
        <v>43489</v>
      </c>
      <c r="B1441" s="32" t="s">
        <v>178</v>
      </c>
      <c r="C1441" s="8" t="s">
        <v>15</v>
      </c>
      <c r="D1441" s="32" t="s">
        <v>43</v>
      </c>
      <c r="E1441" s="8" t="s">
        <v>44</v>
      </c>
      <c r="F1441" s="8" t="s">
        <v>3584</v>
      </c>
      <c r="G1441" s="8" t="n">
        <f aca="false">+593992119254</f>
        <v>593992119254</v>
      </c>
      <c r="H1441" s="8" t="s">
        <v>3585</v>
      </c>
      <c r="I1441" s="8"/>
      <c r="J1441" s="1"/>
      <c r="K1441" s="1" t="s">
        <v>3494</v>
      </c>
      <c r="L1441" s="1"/>
      <c r="M1441" s="1"/>
      <c r="N1441" s="1"/>
      <c r="O1441" s="1"/>
      <c r="P1441" s="6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customFormat="false" ht="21.75" hidden="false" customHeight="true" outlineLevel="0" collapsed="false">
      <c r="A1442" s="4" t="n">
        <v>43489</v>
      </c>
      <c r="B1442" s="32" t="s">
        <v>178</v>
      </c>
      <c r="C1442" s="8" t="s">
        <v>15</v>
      </c>
      <c r="D1442" s="8" t="s">
        <v>43</v>
      </c>
      <c r="E1442" s="8" t="s">
        <v>109</v>
      </c>
      <c r="F1442" s="39" t="s">
        <v>3586</v>
      </c>
      <c r="G1442" s="32" t="n">
        <v>961152675</v>
      </c>
      <c r="H1442" s="32" t="s">
        <v>3587</v>
      </c>
      <c r="I1442" s="32"/>
      <c r="J1442" s="1"/>
      <c r="K1442" s="1" t="s">
        <v>3494</v>
      </c>
      <c r="L1442" s="1"/>
      <c r="M1442" s="1"/>
      <c r="N1442" s="1"/>
      <c r="O1442" s="1"/>
      <c r="P1442" s="6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customFormat="false" ht="21.75" hidden="false" customHeight="true" outlineLevel="0" collapsed="false">
      <c r="A1443" s="4" t="n">
        <v>43489</v>
      </c>
      <c r="B1443" s="32" t="s">
        <v>81</v>
      </c>
      <c r="C1443" s="8" t="s">
        <v>26</v>
      </c>
      <c r="D1443" s="32" t="s">
        <v>43</v>
      </c>
      <c r="E1443" s="8" t="s">
        <v>44</v>
      </c>
      <c r="F1443" s="8" t="s">
        <v>3588</v>
      </c>
      <c r="G1443" s="8" t="n">
        <f aca="false">+5930992569756</f>
        <v>5930992569756</v>
      </c>
      <c r="H1443" s="8" t="s">
        <v>3589</v>
      </c>
      <c r="I1443" s="8"/>
      <c r="J1443" s="1"/>
      <c r="K1443" s="1" t="s">
        <v>3377</v>
      </c>
      <c r="L1443" s="1"/>
      <c r="M1443" s="1"/>
      <c r="N1443" s="1"/>
      <c r="O1443" s="1"/>
      <c r="P1443" s="6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customFormat="false" ht="21.75" hidden="false" customHeight="true" outlineLevel="0" collapsed="false">
      <c r="A1444" s="4" t="n">
        <v>43489</v>
      </c>
      <c r="B1444" s="32" t="s">
        <v>81</v>
      </c>
      <c r="C1444" s="8" t="s">
        <v>26</v>
      </c>
      <c r="D1444" s="32" t="s">
        <v>43</v>
      </c>
      <c r="E1444" s="8" t="s">
        <v>44</v>
      </c>
      <c r="F1444" s="8" t="s">
        <v>3590</v>
      </c>
      <c r="G1444" s="8" t="n">
        <f aca="false">+593982993900</f>
        <v>593982993900</v>
      </c>
      <c r="H1444" s="8" t="s">
        <v>3591</v>
      </c>
      <c r="I1444" s="8"/>
      <c r="J1444" s="1"/>
      <c r="K1444" s="1" t="s">
        <v>3404</v>
      </c>
      <c r="L1444" s="1"/>
      <c r="M1444" s="1"/>
      <c r="N1444" s="1"/>
      <c r="O1444" s="1"/>
      <c r="P1444" s="6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customFormat="false" ht="21.75" hidden="false" customHeight="true" outlineLevel="0" collapsed="false">
      <c r="A1445" s="4" t="n">
        <v>43489</v>
      </c>
      <c r="B1445" s="32" t="s">
        <v>911</v>
      </c>
      <c r="C1445" s="8" t="s">
        <v>15</v>
      </c>
      <c r="D1445" s="32" t="s">
        <v>16</v>
      </c>
      <c r="E1445" s="8" t="s">
        <v>17</v>
      </c>
      <c r="F1445" s="8" t="s">
        <v>3592</v>
      </c>
      <c r="G1445" s="8" t="n">
        <f aca="false">+593994994193</f>
        <v>593994994193</v>
      </c>
      <c r="H1445" s="8" t="s">
        <v>3593</v>
      </c>
      <c r="I1445" s="8"/>
      <c r="J1445" s="1"/>
      <c r="K1445" s="1" t="s">
        <v>3380</v>
      </c>
      <c r="L1445" s="1"/>
      <c r="M1445" s="1"/>
      <c r="N1445" s="1"/>
      <c r="O1445" s="1"/>
      <c r="P1445" s="6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customFormat="false" ht="21.75" hidden="false" customHeight="true" outlineLevel="0" collapsed="false">
      <c r="A1446" s="4" t="n">
        <v>43489</v>
      </c>
      <c r="B1446" s="32" t="s">
        <v>911</v>
      </c>
      <c r="C1446" s="8" t="s">
        <v>15</v>
      </c>
      <c r="D1446" s="32" t="s">
        <v>16</v>
      </c>
      <c r="E1446" s="8" t="s">
        <v>17</v>
      </c>
      <c r="F1446" s="39" t="s">
        <v>3594</v>
      </c>
      <c r="G1446" s="32" t="n">
        <v>961645258</v>
      </c>
      <c r="H1446" s="32" t="s">
        <v>3595</v>
      </c>
      <c r="I1446" s="1"/>
      <c r="J1446" s="1"/>
      <c r="K1446" s="1" t="s">
        <v>3372</v>
      </c>
      <c r="L1446" s="1"/>
      <c r="M1446" s="1"/>
      <c r="N1446" s="1"/>
      <c r="O1446" s="1"/>
      <c r="P1446" s="6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customFormat="false" ht="21.75" hidden="false" customHeight="true" outlineLevel="0" collapsed="false">
      <c r="A1447" s="4" t="n">
        <v>43489</v>
      </c>
      <c r="B1447" s="32" t="s">
        <v>86</v>
      </c>
      <c r="C1447" s="8" t="s">
        <v>15</v>
      </c>
      <c r="D1447" s="32" t="s">
        <v>16</v>
      </c>
      <c r="E1447" s="8" t="s">
        <v>17</v>
      </c>
      <c r="F1447" s="8" t="s">
        <v>3596</v>
      </c>
      <c r="G1447" s="8" t="n">
        <f aca="false">+5930998301191</f>
        <v>5930998301191</v>
      </c>
      <c r="H1447" s="8" t="s">
        <v>3597</v>
      </c>
      <c r="I1447" s="8"/>
      <c r="J1447" s="1"/>
      <c r="K1447" s="1" t="s">
        <v>3598</v>
      </c>
      <c r="L1447" s="1"/>
      <c r="M1447" s="1"/>
      <c r="N1447" s="1"/>
      <c r="O1447" s="1"/>
      <c r="P1447" s="6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customFormat="false" ht="21.75" hidden="false" customHeight="true" outlineLevel="0" collapsed="false">
      <c r="A1448" s="4" t="n">
        <v>43489</v>
      </c>
      <c r="B1448" s="32" t="s">
        <v>86</v>
      </c>
      <c r="C1448" s="8" t="s">
        <v>15</v>
      </c>
      <c r="D1448" s="32" t="s">
        <v>16</v>
      </c>
      <c r="E1448" s="8" t="s">
        <v>17</v>
      </c>
      <c r="F1448" s="8" t="s">
        <v>3599</v>
      </c>
      <c r="G1448" s="8" t="n">
        <f aca="false">+593980525089</f>
        <v>593980525089</v>
      </c>
      <c r="H1448" s="8" t="s">
        <v>3600</v>
      </c>
      <c r="I1448" s="8"/>
      <c r="J1448" s="1"/>
      <c r="K1448" s="1" t="s">
        <v>3372</v>
      </c>
      <c r="L1448" s="1"/>
      <c r="M1448" s="1"/>
      <c r="N1448" s="1"/>
      <c r="O1448" s="1"/>
      <c r="P1448" s="6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customFormat="false" ht="21.75" hidden="false" customHeight="true" outlineLevel="0" collapsed="false">
      <c r="A1449" s="4" t="n">
        <v>43489</v>
      </c>
      <c r="B1449" s="32" t="s">
        <v>86</v>
      </c>
      <c r="C1449" s="8" t="s">
        <v>15</v>
      </c>
      <c r="D1449" s="8" t="s">
        <v>16</v>
      </c>
      <c r="E1449" s="8" t="s">
        <v>17</v>
      </c>
      <c r="F1449" s="39" t="s">
        <v>2497</v>
      </c>
      <c r="G1449" s="32" t="n">
        <v>993616319</v>
      </c>
      <c r="H1449" s="32" t="s">
        <v>3601</v>
      </c>
      <c r="I1449" s="32"/>
      <c r="J1449" s="1"/>
      <c r="K1449" s="1" t="s">
        <v>3602</v>
      </c>
      <c r="L1449" s="1"/>
      <c r="M1449" s="1"/>
      <c r="N1449" s="1"/>
      <c r="O1449" s="1"/>
      <c r="P1449" s="6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customFormat="false" ht="21.75" hidden="false" customHeight="true" outlineLevel="0" collapsed="false">
      <c r="A1450" s="4" t="n">
        <v>43489</v>
      </c>
      <c r="B1450" s="32" t="s">
        <v>86</v>
      </c>
      <c r="C1450" s="8" t="s">
        <v>15</v>
      </c>
      <c r="D1450" s="8" t="s">
        <v>16</v>
      </c>
      <c r="E1450" s="8" t="s">
        <v>17</v>
      </c>
      <c r="F1450" s="39" t="s">
        <v>3603</v>
      </c>
      <c r="G1450" s="32" t="n">
        <v>967909806</v>
      </c>
      <c r="H1450" s="32" t="s">
        <v>3604</v>
      </c>
      <c r="I1450" s="32"/>
      <c r="J1450" s="1"/>
      <c r="K1450" s="1" t="s">
        <v>3494</v>
      </c>
      <c r="L1450" s="1"/>
      <c r="M1450" s="1"/>
      <c r="N1450" s="1"/>
      <c r="O1450" s="1"/>
      <c r="P1450" s="6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customFormat="false" ht="21.75" hidden="false" customHeight="true" outlineLevel="0" collapsed="false">
      <c r="A1451" s="4" t="n">
        <v>43489</v>
      </c>
      <c r="B1451" s="32" t="s">
        <v>86</v>
      </c>
      <c r="C1451" s="8" t="s">
        <v>15</v>
      </c>
      <c r="D1451" s="32" t="s">
        <v>16</v>
      </c>
      <c r="E1451" s="8" t="s">
        <v>17</v>
      </c>
      <c r="F1451" s="39" t="s">
        <v>3605</v>
      </c>
      <c r="G1451" s="32"/>
      <c r="H1451" s="32" t="s">
        <v>3606</v>
      </c>
      <c r="I1451" s="1"/>
      <c r="J1451" s="1"/>
      <c r="K1451" s="1" t="s">
        <v>3607</v>
      </c>
      <c r="L1451" s="1"/>
      <c r="M1451" s="1"/>
      <c r="N1451" s="1"/>
      <c r="O1451" s="1"/>
      <c r="P1451" s="6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customFormat="false" ht="21.75" hidden="false" customHeight="true" outlineLevel="0" collapsed="false">
      <c r="A1452" s="4" t="n">
        <v>43490</v>
      </c>
      <c r="B1452" s="32" t="s">
        <v>14</v>
      </c>
      <c r="C1452" s="8" t="s">
        <v>15</v>
      </c>
      <c r="D1452" s="32" t="s">
        <v>16</v>
      </c>
      <c r="E1452" s="8" t="s">
        <v>17</v>
      </c>
      <c r="F1452" s="8" t="s">
        <v>3608</v>
      </c>
      <c r="G1452" s="8" t="n">
        <f aca="false">+593978630416</f>
        <v>593978630416</v>
      </c>
      <c r="H1452" s="8" t="s">
        <v>3609</v>
      </c>
      <c r="I1452" s="8"/>
      <c r="J1452" s="1"/>
      <c r="K1452" s="1" t="s">
        <v>58</v>
      </c>
      <c r="L1452" s="1"/>
      <c r="M1452" s="1"/>
      <c r="N1452" s="1"/>
      <c r="O1452" s="1"/>
      <c r="P1452" s="6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customFormat="false" ht="21.75" hidden="false" customHeight="true" outlineLevel="0" collapsed="false">
      <c r="A1453" s="4" t="n">
        <v>43490</v>
      </c>
      <c r="B1453" s="32" t="s">
        <v>14</v>
      </c>
      <c r="C1453" s="8" t="s">
        <v>15</v>
      </c>
      <c r="D1453" s="32" t="s">
        <v>16</v>
      </c>
      <c r="E1453" s="8" t="s">
        <v>17</v>
      </c>
      <c r="F1453" s="8" t="s">
        <v>3610</v>
      </c>
      <c r="G1453" s="8" t="n">
        <v>996309679</v>
      </c>
      <c r="H1453" s="8" t="s">
        <v>3611</v>
      </c>
      <c r="I1453" s="8"/>
      <c r="J1453" s="1"/>
      <c r="K1453" s="1" t="s">
        <v>3494</v>
      </c>
      <c r="L1453" s="1"/>
      <c r="M1453" s="1"/>
      <c r="N1453" s="1"/>
      <c r="O1453" s="1"/>
      <c r="P1453" s="6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customFormat="false" ht="21.75" hidden="false" customHeight="true" outlineLevel="0" collapsed="false">
      <c r="A1454" s="4" t="n">
        <v>43490</v>
      </c>
      <c r="B1454" s="8" t="s">
        <v>42</v>
      </c>
      <c r="C1454" s="8" t="s">
        <v>15</v>
      </c>
      <c r="D1454" s="32" t="s">
        <v>43</v>
      </c>
      <c r="E1454" s="8" t="s">
        <v>44</v>
      </c>
      <c r="F1454" s="8" t="s">
        <v>3612</v>
      </c>
      <c r="G1454" s="8" t="n">
        <f aca="false">+593985236506</f>
        <v>593985236506</v>
      </c>
      <c r="H1454" s="8" t="s">
        <v>3613</v>
      </c>
      <c r="I1454" s="8"/>
      <c r="J1454" s="1"/>
      <c r="K1454" s="1" t="s">
        <v>3494</v>
      </c>
      <c r="L1454" s="1"/>
      <c r="M1454" s="1"/>
      <c r="N1454" s="1"/>
      <c r="O1454" s="1"/>
      <c r="P1454" s="6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customFormat="false" ht="21.75" hidden="false" customHeight="true" outlineLevel="0" collapsed="false">
      <c r="A1455" s="4" t="n">
        <v>43490</v>
      </c>
      <c r="B1455" s="8" t="s">
        <v>42</v>
      </c>
      <c r="C1455" s="8" t="s">
        <v>15</v>
      </c>
      <c r="D1455" s="32" t="s">
        <v>43</v>
      </c>
      <c r="E1455" s="8" t="s">
        <v>44</v>
      </c>
      <c r="F1455" s="8" t="s">
        <v>3614</v>
      </c>
      <c r="G1455" s="8" t="n">
        <f aca="false">+593979418083</f>
        <v>593979418083</v>
      </c>
      <c r="H1455" s="8" t="s">
        <v>3615</v>
      </c>
      <c r="I1455" s="8"/>
      <c r="J1455" s="1"/>
      <c r="K1455" s="1" t="s">
        <v>3494</v>
      </c>
      <c r="L1455" s="1"/>
      <c r="M1455" s="1"/>
      <c r="N1455" s="1"/>
      <c r="O1455" s="1"/>
      <c r="P1455" s="6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customFormat="false" ht="21.75" hidden="false" customHeight="true" outlineLevel="0" collapsed="false">
      <c r="A1456" s="4" t="n">
        <v>43490</v>
      </c>
      <c r="B1456" s="8" t="s">
        <v>42</v>
      </c>
      <c r="C1456" s="8" t="s">
        <v>15</v>
      </c>
      <c r="D1456" s="32" t="s">
        <v>43</v>
      </c>
      <c r="E1456" s="8" t="s">
        <v>44</v>
      </c>
      <c r="F1456" s="8" t="s">
        <v>3616</v>
      </c>
      <c r="G1456" s="8" t="n">
        <f aca="false">+593999388296</f>
        <v>593999388296</v>
      </c>
      <c r="H1456" s="8" t="s">
        <v>3617</v>
      </c>
      <c r="I1456" s="8"/>
      <c r="J1456" s="1"/>
      <c r="K1456" s="1" t="s">
        <v>3618</v>
      </c>
      <c r="L1456" s="1" t="s">
        <v>2714</v>
      </c>
      <c r="M1456" s="1"/>
      <c r="N1456" s="1"/>
      <c r="O1456" s="1"/>
      <c r="P1456" s="6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customFormat="false" ht="21.75" hidden="false" customHeight="true" outlineLevel="0" collapsed="false">
      <c r="A1457" s="4" t="n">
        <v>43490</v>
      </c>
      <c r="B1457" s="8" t="s">
        <v>42</v>
      </c>
      <c r="C1457" s="8" t="s">
        <v>15</v>
      </c>
      <c r="D1457" s="32" t="s">
        <v>43</v>
      </c>
      <c r="E1457" s="8" t="s">
        <v>109</v>
      </c>
      <c r="F1457" s="8" t="s">
        <v>3619</v>
      </c>
      <c r="G1457" s="8" t="n">
        <f aca="false">+593989493646</f>
        <v>593989493646</v>
      </c>
      <c r="H1457" s="8" t="s">
        <v>3620</v>
      </c>
      <c r="I1457" s="8"/>
      <c r="J1457" s="1"/>
      <c r="K1457" s="1" t="s">
        <v>3372</v>
      </c>
      <c r="L1457" s="1"/>
      <c r="M1457" s="1"/>
      <c r="N1457" s="1"/>
      <c r="O1457" s="1"/>
      <c r="P1457" s="6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customFormat="false" ht="21.75" hidden="false" customHeight="true" outlineLevel="0" collapsed="false">
      <c r="A1458" s="4" t="n">
        <v>43490</v>
      </c>
      <c r="B1458" s="8" t="s">
        <v>42</v>
      </c>
      <c r="C1458" s="8" t="s">
        <v>26</v>
      </c>
      <c r="D1458" s="32" t="s">
        <v>43</v>
      </c>
      <c r="E1458" s="8" t="s">
        <v>109</v>
      </c>
      <c r="F1458" s="8" t="s">
        <v>3621</v>
      </c>
      <c r="G1458" s="8" t="n">
        <v>997906523</v>
      </c>
      <c r="H1458" s="8" t="s">
        <v>3622</v>
      </c>
      <c r="I1458" s="8"/>
      <c r="J1458" s="1"/>
      <c r="K1458" s="1" t="s">
        <v>3623</v>
      </c>
      <c r="L1458" s="1"/>
      <c r="M1458" s="1"/>
      <c r="N1458" s="1"/>
      <c r="O1458" s="1"/>
      <c r="P1458" s="6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customFormat="false" ht="21.75" hidden="false" customHeight="true" outlineLevel="0" collapsed="false">
      <c r="A1459" s="4" t="n">
        <v>43490</v>
      </c>
      <c r="B1459" s="8" t="s">
        <v>42</v>
      </c>
      <c r="C1459" s="8" t="s">
        <v>15</v>
      </c>
      <c r="D1459" s="32" t="s">
        <v>43</v>
      </c>
      <c r="E1459" s="8" t="s">
        <v>109</v>
      </c>
      <c r="F1459" s="8" t="s">
        <v>3624</v>
      </c>
      <c r="G1459" s="8" t="n">
        <v>981211761</v>
      </c>
      <c r="H1459" s="8" t="s">
        <v>3625</v>
      </c>
      <c r="I1459" s="8"/>
      <c r="J1459" s="1"/>
      <c r="K1459" s="1" t="s">
        <v>133</v>
      </c>
      <c r="L1459" s="1"/>
      <c r="M1459" s="1"/>
      <c r="N1459" s="1"/>
      <c r="O1459" s="1"/>
      <c r="P1459" s="6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customFormat="false" ht="21.75" hidden="false" customHeight="true" outlineLevel="0" collapsed="false">
      <c r="A1460" s="4" t="n">
        <v>43490</v>
      </c>
      <c r="B1460" s="32" t="s">
        <v>166</v>
      </c>
      <c r="C1460" s="8" t="s">
        <v>15</v>
      </c>
      <c r="D1460" s="32" t="s">
        <v>16</v>
      </c>
      <c r="E1460" s="8" t="s">
        <v>17</v>
      </c>
      <c r="F1460" s="8" t="s">
        <v>3626</v>
      </c>
      <c r="G1460" s="8" t="n">
        <f aca="false">+5930969610213</f>
        <v>5930969610213</v>
      </c>
      <c r="H1460" s="8" t="s">
        <v>3627</v>
      </c>
      <c r="I1460" s="8"/>
      <c r="J1460" s="1"/>
      <c r="K1460" s="1" t="s">
        <v>3628</v>
      </c>
      <c r="L1460" s="1"/>
      <c r="M1460" s="1"/>
      <c r="N1460" s="1"/>
      <c r="O1460" s="1"/>
      <c r="P1460" s="6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customFormat="false" ht="21.75" hidden="false" customHeight="true" outlineLevel="0" collapsed="false">
      <c r="A1461" s="4" t="n">
        <v>43490</v>
      </c>
      <c r="B1461" s="32" t="s">
        <v>166</v>
      </c>
      <c r="C1461" s="8" t="s">
        <v>15</v>
      </c>
      <c r="D1461" s="32" t="s">
        <v>16</v>
      </c>
      <c r="E1461" s="8" t="s">
        <v>17</v>
      </c>
      <c r="F1461" s="8" t="s">
        <v>3629</v>
      </c>
      <c r="G1461" s="8" t="n">
        <f aca="false">+593995042354</f>
        <v>593995042354</v>
      </c>
      <c r="H1461" s="8" t="s">
        <v>3630</v>
      </c>
      <c r="I1461" s="8"/>
      <c r="J1461" s="1"/>
      <c r="K1461" s="1" t="s">
        <v>3631</v>
      </c>
      <c r="L1461" s="1"/>
      <c r="M1461" s="1"/>
      <c r="N1461" s="1"/>
      <c r="O1461" s="1"/>
      <c r="P1461" s="6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customFormat="false" ht="21.75" hidden="false" customHeight="true" outlineLevel="0" collapsed="false">
      <c r="A1462" s="4" t="n">
        <v>43490</v>
      </c>
      <c r="B1462" s="8" t="s">
        <v>323</v>
      </c>
      <c r="C1462" s="8" t="s">
        <v>15</v>
      </c>
      <c r="D1462" s="32" t="s">
        <v>43</v>
      </c>
      <c r="E1462" s="8" t="s">
        <v>109</v>
      </c>
      <c r="F1462" s="8" t="s">
        <v>3632</v>
      </c>
      <c r="G1462" s="8" t="n">
        <f aca="false">+593960179214</f>
        <v>593960179214</v>
      </c>
      <c r="H1462" s="8" t="s">
        <v>3633</v>
      </c>
      <c r="I1462" s="8"/>
      <c r="J1462" s="1"/>
      <c r="K1462" s="1" t="s">
        <v>3494</v>
      </c>
      <c r="L1462" s="1"/>
      <c r="M1462" s="1"/>
      <c r="N1462" s="1"/>
      <c r="O1462" s="1"/>
      <c r="P1462" s="6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customFormat="false" ht="21.75" hidden="false" customHeight="true" outlineLevel="0" collapsed="false">
      <c r="A1463" s="4" t="n">
        <v>43490</v>
      </c>
      <c r="B1463" s="8" t="s">
        <v>323</v>
      </c>
      <c r="C1463" s="8" t="s">
        <v>15</v>
      </c>
      <c r="D1463" s="32" t="s">
        <v>43</v>
      </c>
      <c r="E1463" s="8" t="s">
        <v>109</v>
      </c>
      <c r="F1463" s="8" t="s">
        <v>3634</v>
      </c>
      <c r="G1463" s="8" t="n">
        <f aca="false">+5930967586846</f>
        <v>5930967586846</v>
      </c>
      <c r="H1463" s="8" t="s">
        <v>3398</v>
      </c>
      <c r="I1463" s="8"/>
      <c r="J1463" s="1"/>
      <c r="K1463" s="1" t="s">
        <v>3494</v>
      </c>
      <c r="L1463" s="1"/>
      <c r="M1463" s="1"/>
      <c r="N1463" s="1"/>
      <c r="O1463" s="1"/>
      <c r="P1463" s="6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customFormat="false" ht="21.75" hidden="false" customHeight="true" outlineLevel="0" collapsed="false">
      <c r="A1464" s="4" t="n">
        <v>43490</v>
      </c>
      <c r="B1464" s="8" t="s">
        <v>1106</v>
      </c>
      <c r="C1464" s="8" t="s">
        <v>15</v>
      </c>
      <c r="D1464" s="32" t="s">
        <v>43</v>
      </c>
      <c r="E1464" s="8" t="s">
        <v>109</v>
      </c>
      <c r="F1464" s="8" t="s">
        <v>3635</v>
      </c>
      <c r="G1464" s="8" t="n">
        <f aca="false">+593985848499</f>
        <v>593985848499</v>
      </c>
      <c r="H1464" s="8" t="s">
        <v>3636</v>
      </c>
      <c r="I1464" s="8"/>
      <c r="J1464" s="1"/>
      <c r="K1464" s="1" t="s">
        <v>3372</v>
      </c>
      <c r="L1464" s="1"/>
      <c r="M1464" s="1"/>
      <c r="N1464" s="1"/>
      <c r="O1464" s="1"/>
      <c r="P1464" s="6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customFormat="false" ht="21.75" hidden="false" customHeight="true" outlineLevel="0" collapsed="false">
      <c r="A1465" s="4" t="n">
        <v>43490</v>
      </c>
      <c r="B1465" s="8" t="s">
        <v>1106</v>
      </c>
      <c r="C1465" s="8" t="s">
        <v>26</v>
      </c>
      <c r="D1465" s="32" t="s">
        <v>43</v>
      </c>
      <c r="E1465" s="8" t="s">
        <v>109</v>
      </c>
      <c r="F1465" s="8" t="s">
        <v>3477</v>
      </c>
      <c r="G1465" s="8" t="n">
        <f aca="false">+593967287062</f>
        <v>593967287062</v>
      </c>
      <c r="H1465" s="8" t="s">
        <v>3637</v>
      </c>
      <c r="I1465" s="8"/>
      <c r="J1465" s="1"/>
      <c r="K1465" s="1" t="s">
        <v>58</v>
      </c>
      <c r="L1465" s="1"/>
      <c r="M1465" s="1"/>
      <c r="N1465" s="1"/>
      <c r="O1465" s="1"/>
      <c r="P1465" s="6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customFormat="false" ht="21.75" hidden="false" customHeight="true" outlineLevel="0" collapsed="false">
      <c r="A1466" s="4" t="n">
        <v>43490</v>
      </c>
      <c r="B1466" s="32" t="s">
        <v>1106</v>
      </c>
      <c r="C1466" s="8" t="s">
        <v>15</v>
      </c>
      <c r="D1466" s="32" t="s">
        <v>43</v>
      </c>
      <c r="E1466" s="8" t="s">
        <v>109</v>
      </c>
      <c r="F1466" s="8" t="s">
        <v>3638</v>
      </c>
      <c r="G1466" s="8" t="n">
        <v>979607728</v>
      </c>
      <c r="H1466" s="41" t="s">
        <v>3639</v>
      </c>
      <c r="I1466" s="8"/>
      <c r="J1466" s="1"/>
      <c r="K1466" s="1" t="s">
        <v>3640</v>
      </c>
      <c r="L1466" s="1"/>
      <c r="M1466" s="1"/>
      <c r="N1466" s="1"/>
      <c r="O1466" s="1"/>
      <c r="P1466" s="6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customFormat="false" ht="21.75" hidden="false" customHeight="true" outlineLevel="0" collapsed="false">
      <c r="A1467" s="4" t="n">
        <v>43490</v>
      </c>
      <c r="B1467" s="8" t="s">
        <v>1831</v>
      </c>
      <c r="C1467" s="8" t="s">
        <v>15</v>
      </c>
      <c r="D1467" s="32" t="s">
        <v>43</v>
      </c>
      <c r="E1467" s="8" t="s">
        <v>109</v>
      </c>
      <c r="F1467" s="8" t="s">
        <v>3641</v>
      </c>
      <c r="G1467" s="8" t="n">
        <f aca="false">+593967706542</f>
        <v>593967706542</v>
      </c>
      <c r="H1467" s="8" t="s">
        <v>3642</v>
      </c>
      <c r="I1467" s="8"/>
      <c r="J1467" s="1"/>
      <c r="K1467" s="1" t="s">
        <v>3494</v>
      </c>
      <c r="L1467" s="1"/>
      <c r="M1467" s="1"/>
      <c r="N1467" s="1"/>
      <c r="O1467" s="1"/>
      <c r="P1467" s="6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customFormat="false" ht="21.75" hidden="false" customHeight="true" outlineLevel="0" collapsed="false">
      <c r="A1468" s="4" t="n">
        <v>43490</v>
      </c>
      <c r="B1468" s="8" t="s">
        <v>1478</v>
      </c>
      <c r="C1468" s="8" t="s">
        <v>15</v>
      </c>
      <c r="D1468" s="32" t="s">
        <v>43</v>
      </c>
      <c r="E1468" s="8" t="s">
        <v>109</v>
      </c>
      <c r="F1468" s="8" t="s">
        <v>3643</v>
      </c>
      <c r="G1468" s="8" t="n">
        <f aca="false">+593994411892</f>
        <v>593994411892</v>
      </c>
      <c r="H1468" s="8" t="s">
        <v>3644</v>
      </c>
      <c r="I1468" s="8"/>
      <c r="J1468" s="1"/>
      <c r="K1468" s="1" t="s">
        <v>3645</v>
      </c>
      <c r="L1468" s="1"/>
      <c r="M1468" s="1"/>
      <c r="N1468" s="1"/>
      <c r="O1468" s="1"/>
      <c r="P1468" s="6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customFormat="false" ht="21.75" hidden="false" customHeight="true" outlineLevel="0" collapsed="false">
      <c r="A1469" s="4" t="n">
        <v>43490</v>
      </c>
      <c r="B1469" s="8" t="s">
        <v>1478</v>
      </c>
      <c r="C1469" s="8" t="s">
        <v>15</v>
      </c>
      <c r="D1469" s="32" t="s">
        <v>43</v>
      </c>
      <c r="E1469" s="8" t="s">
        <v>109</v>
      </c>
      <c r="F1469" s="8" t="s">
        <v>3646</v>
      </c>
      <c r="G1469" s="8" t="n">
        <f aca="false">+593980267223</f>
        <v>593980267223</v>
      </c>
      <c r="H1469" s="8" t="s">
        <v>3647</v>
      </c>
      <c r="I1469" s="8"/>
      <c r="J1469" s="1"/>
      <c r="K1469" s="1" t="s">
        <v>3494</v>
      </c>
      <c r="L1469" s="1"/>
      <c r="M1469" s="1"/>
      <c r="N1469" s="1"/>
      <c r="O1469" s="1"/>
      <c r="P1469" s="6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customFormat="false" ht="21.75" hidden="false" customHeight="true" outlineLevel="0" collapsed="false">
      <c r="A1470" s="4" t="n">
        <v>43490</v>
      </c>
      <c r="B1470" s="8" t="s">
        <v>1478</v>
      </c>
      <c r="C1470" s="8" t="s">
        <v>15</v>
      </c>
      <c r="D1470" s="32" t="s">
        <v>43</v>
      </c>
      <c r="E1470" s="8" t="s">
        <v>109</v>
      </c>
      <c r="F1470" s="8" t="s">
        <v>3648</v>
      </c>
      <c r="G1470" s="8" t="n">
        <f aca="false">+5930986972791</f>
        <v>5930986972791</v>
      </c>
      <c r="H1470" s="8" t="s">
        <v>3649</v>
      </c>
      <c r="I1470" s="8"/>
      <c r="J1470" s="1"/>
      <c r="K1470" s="1" t="s">
        <v>3494</v>
      </c>
      <c r="L1470" s="1"/>
      <c r="M1470" s="1"/>
      <c r="N1470" s="1"/>
      <c r="O1470" s="1"/>
      <c r="P1470" s="6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customFormat="false" ht="21.75" hidden="false" customHeight="true" outlineLevel="0" collapsed="false">
      <c r="A1471" s="4" t="n">
        <v>43490</v>
      </c>
      <c r="B1471" s="32" t="s">
        <v>108</v>
      </c>
      <c r="C1471" s="8" t="s">
        <v>15</v>
      </c>
      <c r="D1471" s="32" t="s">
        <v>16</v>
      </c>
      <c r="E1471" s="5" t="s">
        <v>109</v>
      </c>
      <c r="F1471" s="8" t="s">
        <v>3650</v>
      </c>
      <c r="G1471" s="8" t="n">
        <f aca="false">+593999209294</f>
        <v>593999209294</v>
      </c>
      <c r="H1471" s="8" t="s">
        <v>3651</v>
      </c>
      <c r="I1471" s="8"/>
      <c r="J1471" s="1"/>
      <c r="K1471" s="1" t="s">
        <v>3494</v>
      </c>
      <c r="L1471" s="1"/>
      <c r="M1471" s="1"/>
      <c r="N1471" s="1"/>
      <c r="O1471" s="1"/>
      <c r="P1471" s="6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customFormat="false" ht="21.75" hidden="false" customHeight="true" outlineLevel="0" collapsed="false">
      <c r="A1472" s="4" t="n">
        <v>43490</v>
      </c>
      <c r="B1472" s="8" t="s">
        <v>48</v>
      </c>
      <c r="C1472" s="8" t="s">
        <v>15</v>
      </c>
      <c r="D1472" s="32" t="s">
        <v>43</v>
      </c>
      <c r="E1472" s="8" t="s">
        <v>883</v>
      </c>
      <c r="F1472" s="8" t="s">
        <v>3652</v>
      </c>
      <c r="G1472" s="8" t="n">
        <f aca="false">+593998039759</f>
        <v>593998039759</v>
      </c>
      <c r="H1472" s="8" t="s">
        <v>3653</v>
      </c>
      <c r="I1472" s="8"/>
      <c r="J1472" s="1"/>
      <c r="K1472" s="1" t="s">
        <v>3494</v>
      </c>
      <c r="L1472" s="1"/>
      <c r="M1472" s="1"/>
      <c r="N1472" s="1"/>
      <c r="O1472" s="1"/>
      <c r="P1472" s="6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customFormat="false" ht="21.75" hidden="false" customHeight="true" outlineLevel="0" collapsed="false">
      <c r="A1473" s="4" t="n">
        <v>43490</v>
      </c>
      <c r="B1473" s="8" t="s">
        <v>48</v>
      </c>
      <c r="C1473" s="8" t="s">
        <v>15</v>
      </c>
      <c r="D1473" s="32" t="s">
        <v>43</v>
      </c>
      <c r="E1473" s="8" t="s">
        <v>883</v>
      </c>
      <c r="F1473" s="8" t="s">
        <v>3654</v>
      </c>
      <c r="G1473" s="8" t="n">
        <f aca="false">+593991389674</f>
        <v>593991389674</v>
      </c>
      <c r="H1473" s="8" t="s">
        <v>3655</v>
      </c>
      <c r="I1473" s="8"/>
      <c r="J1473" s="1"/>
      <c r="K1473" s="1" t="s">
        <v>3494</v>
      </c>
      <c r="L1473" s="1"/>
      <c r="M1473" s="1"/>
      <c r="N1473" s="1"/>
      <c r="O1473" s="1"/>
      <c r="P1473" s="6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customFormat="false" ht="21.75" hidden="false" customHeight="true" outlineLevel="0" collapsed="false">
      <c r="A1474" s="4" t="n">
        <v>43490</v>
      </c>
      <c r="B1474" s="8" t="s">
        <v>48</v>
      </c>
      <c r="C1474" s="8" t="s">
        <v>15</v>
      </c>
      <c r="D1474" s="32" t="s">
        <v>43</v>
      </c>
      <c r="E1474" s="8" t="s">
        <v>883</v>
      </c>
      <c r="F1474" s="8" t="s">
        <v>3656</v>
      </c>
      <c r="G1474" s="8" t="n">
        <f aca="false">+5930985107376</f>
        <v>5930985107376</v>
      </c>
      <c r="H1474" s="8" t="s">
        <v>3657</v>
      </c>
      <c r="I1474" s="8"/>
      <c r="J1474" s="1"/>
      <c r="K1474" s="1" t="s">
        <v>3494</v>
      </c>
      <c r="L1474" s="1"/>
      <c r="M1474" s="1"/>
      <c r="N1474" s="1"/>
      <c r="O1474" s="1"/>
      <c r="P1474" s="6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customFormat="false" ht="21.75" hidden="false" customHeight="true" outlineLevel="0" collapsed="false">
      <c r="A1475" s="4" t="n">
        <v>43490</v>
      </c>
      <c r="B1475" s="8" t="s">
        <v>48</v>
      </c>
      <c r="C1475" s="8" t="s">
        <v>26</v>
      </c>
      <c r="D1475" s="32" t="s">
        <v>43</v>
      </c>
      <c r="E1475" s="8" t="s">
        <v>883</v>
      </c>
      <c r="F1475" s="8" t="s">
        <v>3658</v>
      </c>
      <c r="G1475" s="8" t="n">
        <f aca="false">+593958711210</f>
        <v>593958711210</v>
      </c>
      <c r="H1475" s="8" t="s">
        <v>3659</v>
      </c>
      <c r="I1475" s="8"/>
      <c r="J1475" s="1"/>
      <c r="K1475" s="1" t="s">
        <v>3494</v>
      </c>
      <c r="L1475" s="1"/>
      <c r="M1475" s="1"/>
      <c r="N1475" s="1"/>
      <c r="O1475" s="1"/>
      <c r="P1475" s="6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customFormat="false" ht="21.75" hidden="false" customHeight="true" outlineLevel="0" collapsed="false">
      <c r="A1476" s="4" t="n">
        <v>43490</v>
      </c>
      <c r="B1476" s="8" t="s">
        <v>48</v>
      </c>
      <c r="C1476" s="8" t="s">
        <v>15</v>
      </c>
      <c r="D1476" s="32" t="s">
        <v>43</v>
      </c>
      <c r="E1476" s="8" t="s">
        <v>883</v>
      </c>
      <c r="F1476" s="8" t="s">
        <v>3660</v>
      </c>
      <c r="G1476" s="8" t="n">
        <f aca="false">+593967424695</f>
        <v>593967424695</v>
      </c>
      <c r="H1476" s="8" t="s">
        <v>3661</v>
      </c>
      <c r="I1476" s="8"/>
      <c r="J1476" s="1"/>
      <c r="K1476" s="1" t="s">
        <v>3494</v>
      </c>
      <c r="L1476" s="1"/>
      <c r="M1476" s="1"/>
      <c r="N1476" s="1"/>
      <c r="O1476" s="1"/>
      <c r="P1476" s="6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customFormat="false" ht="21.75" hidden="false" customHeight="true" outlineLevel="0" collapsed="false">
      <c r="A1477" s="4" t="n">
        <v>43490</v>
      </c>
      <c r="B1477" s="8" t="s">
        <v>48</v>
      </c>
      <c r="C1477" s="8" t="s">
        <v>15</v>
      </c>
      <c r="D1477" s="32" t="s">
        <v>43</v>
      </c>
      <c r="E1477" s="8" t="s">
        <v>883</v>
      </c>
      <c r="F1477" s="8" t="s">
        <v>3662</v>
      </c>
      <c r="G1477" s="8" t="n">
        <v>959170716</v>
      </c>
      <c r="H1477" s="8" t="s">
        <v>3663</v>
      </c>
      <c r="I1477" s="8"/>
      <c r="J1477" s="1"/>
      <c r="K1477" s="1" t="s">
        <v>3494</v>
      </c>
      <c r="L1477" s="1"/>
      <c r="M1477" s="1"/>
      <c r="N1477" s="1"/>
      <c r="O1477" s="1"/>
      <c r="P1477" s="6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customFormat="false" ht="21.75" hidden="false" customHeight="true" outlineLevel="0" collapsed="false">
      <c r="A1478" s="4" t="n">
        <v>43490</v>
      </c>
      <c r="B1478" s="32" t="s">
        <v>48</v>
      </c>
      <c r="C1478" s="8" t="s">
        <v>15</v>
      </c>
      <c r="D1478" s="32" t="s">
        <v>43</v>
      </c>
      <c r="E1478" s="8" t="s">
        <v>883</v>
      </c>
      <c r="F1478" s="39" t="s">
        <v>3664</v>
      </c>
      <c r="G1478" s="32" t="n">
        <v>984227760</v>
      </c>
      <c r="H1478" s="32" t="s">
        <v>3665</v>
      </c>
      <c r="I1478" s="32"/>
      <c r="J1478" s="1"/>
      <c r="K1478" s="1" t="s">
        <v>3666</v>
      </c>
      <c r="L1478" s="1"/>
      <c r="M1478" s="1"/>
      <c r="N1478" s="1"/>
      <c r="O1478" s="1"/>
      <c r="P1478" s="6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customFormat="false" ht="21.75" hidden="false" customHeight="true" outlineLevel="0" collapsed="false">
      <c r="A1479" s="4" t="n">
        <v>43490</v>
      </c>
      <c r="B1479" s="32" t="s">
        <v>48</v>
      </c>
      <c r="C1479" s="8" t="s">
        <v>15</v>
      </c>
      <c r="D1479" s="32" t="s">
        <v>43</v>
      </c>
      <c r="E1479" s="8" t="s">
        <v>44</v>
      </c>
      <c r="F1479" s="8" t="s">
        <v>3667</v>
      </c>
      <c r="G1479" s="8" t="n">
        <f aca="false">+593982180589</f>
        <v>593982180589</v>
      </c>
      <c r="H1479" s="8" t="s">
        <v>3668</v>
      </c>
      <c r="I1479" s="8"/>
      <c r="J1479" s="1"/>
      <c r="K1479" s="1" t="s">
        <v>3494</v>
      </c>
      <c r="L1479" s="1"/>
      <c r="M1479" s="1"/>
      <c r="N1479" s="1"/>
      <c r="O1479" s="1"/>
      <c r="P1479" s="6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customFormat="false" ht="21.75" hidden="false" customHeight="true" outlineLevel="0" collapsed="false">
      <c r="A1480" s="4" t="n">
        <v>43490</v>
      </c>
      <c r="B1480" s="32" t="s">
        <v>48</v>
      </c>
      <c r="C1480" s="8" t="s">
        <v>15</v>
      </c>
      <c r="D1480" s="32" t="s">
        <v>43</v>
      </c>
      <c r="E1480" s="8" t="s">
        <v>44</v>
      </c>
      <c r="F1480" s="8" t="s">
        <v>3669</v>
      </c>
      <c r="G1480" s="8" t="n">
        <f aca="false">+5930984053966</f>
        <v>5930984053966</v>
      </c>
      <c r="H1480" s="8" t="s">
        <v>3670</v>
      </c>
      <c r="I1480" s="8"/>
      <c r="J1480" s="1"/>
      <c r="K1480" s="1" t="s">
        <v>3494</v>
      </c>
      <c r="L1480" s="1"/>
      <c r="M1480" s="1"/>
      <c r="N1480" s="1"/>
      <c r="O1480" s="1"/>
      <c r="P1480" s="6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customFormat="false" ht="21.75" hidden="false" customHeight="true" outlineLevel="0" collapsed="false">
      <c r="A1481" s="4" t="n">
        <v>43490</v>
      </c>
      <c r="B1481" s="32" t="s">
        <v>48</v>
      </c>
      <c r="C1481" s="8" t="s">
        <v>15</v>
      </c>
      <c r="D1481" s="32" t="s">
        <v>43</v>
      </c>
      <c r="E1481" s="8" t="s">
        <v>44</v>
      </c>
      <c r="F1481" s="8" t="s">
        <v>3671</v>
      </c>
      <c r="G1481" s="8" t="n">
        <f aca="false">+593998986164</f>
        <v>593998986164</v>
      </c>
      <c r="H1481" s="8" t="s">
        <v>3672</v>
      </c>
      <c r="I1481" s="8"/>
      <c r="J1481" s="1"/>
      <c r="K1481" s="1" t="s">
        <v>3494</v>
      </c>
      <c r="L1481" s="1"/>
      <c r="M1481" s="1"/>
      <c r="N1481" s="1"/>
      <c r="O1481" s="1"/>
      <c r="P1481" s="6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customFormat="false" ht="21.75" hidden="false" customHeight="true" outlineLevel="0" collapsed="false">
      <c r="A1482" s="4" t="n">
        <v>43490</v>
      </c>
      <c r="B1482" s="32" t="s">
        <v>48</v>
      </c>
      <c r="C1482" s="8" t="s">
        <v>15</v>
      </c>
      <c r="D1482" s="32" t="s">
        <v>43</v>
      </c>
      <c r="E1482" s="8" t="s">
        <v>44</v>
      </c>
      <c r="F1482" s="8" t="s">
        <v>3673</v>
      </c>
      <c r="G1482" s="8" t="n">
        <f aca="false">+593999942489</f>
        <v>593999942489</v>
      </c>
      <c r="H1482" s="8" t="s">
        <v>3674</v>
      </c>
      <c r="I1482" s="8"/>
      <c r="J1482" s="1"/>
      <c r="K1482" s="1" t="s">
        <v>3675</v>
      </c>
      <c r="L1482" s="1"/>
      <c r="M1482" s="1"/>
      <c r="N1482" s="1"/>
      <c r="O1482" s="1"/>
      <c r="P1482" s="6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customFormat="false" ht="21.75" hidden="false" customHeight="true" outlineLevel="0" collapsed="false">
      <c r="A1483" s="4" t="n">
        <v>43490</v>
      </c>
      <c r="B1483" s="32" t="s">
        <v>48</v>
      </c>
      <c r="C1483" s="8" t="s">
        <v>15</v>
      </c>
      <c r="D1483" s="32" t="s">
        <v>43</v>
      </c>
      <c r="E1483" s="8" t="s">
        <v>44</v>
      </c>
      <c r="F1483" s="8" t="s">
        <v>3676</v>
      </c>
      <c r="G1483" s="8" t="n">
        <f aca="false">+593991027480</f>
        <v>593991027480</v>
      </c>
      <c r="H1483" s="8" t="s">
        <v>3677</v>
      </c>
      <c r="I1483" s="8"/>
      <c r="J1483" s="1"/>
      <c r="K1483" s="1" t="s">
        <v>3678</v>
      </c>
      <c r="L1483" s="1"/>
      <c r="M1483" s="1"/>
      <c r="N1483" s="1"/>
      <c r="O1483" s="1"/>
      <c r="P1483" s="6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customFormat="false" ht="21.75" hidden="false" customHeight="true" outlineLevel="0" collapsed="false">
      <c r="A1484" s="4" t="n">
        <v>43490</v>
      </c>
      <c r="B1484" s="32" t="s">
        <v>48</v>
      </c>
      <c r="C1484" s="8" t="s">
        <v>26</v>
      </c>
      <c r="D1484" s="32" t="s">
        <v>43</v>
      </c>
      <c r="E1484" s="8" t="s">
        <v>44</v>
      </c>
      <c r="F1484" s="8" t="s">
        <v>3679</v>
      </c>
      <c r="G1484" s="8" t="n">
        <f aca="false">+593982684813</f>
        <v>593982684813</v>
      </c>
      <c r="H1484" s="8" t="s">
        <v>3680</v>
      </c>
      <c r="I1484" s="8"/>
      <c r="J1484" s="1"/>
      <c r="K1484" s="1" t="s">
        <v>3618</v>
      </c>
      <c r="L1484" s="1"/>
      <c r="M1484" s="1"/>
      <c r="N1484" s="1"/>
      <c r="O1484" s="1"/>
      <c r="P1484" s="6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customFormat="false" ht="21.75" hidden="false" customHeight="true" outlineLevel="0" collapsed="false">
      <c r="A1485" s="4" t="n">
        <v>43490</v>
      </c>
      <c r="B1485" s="32" t="s">
        <v>48</v>
      </c>
      <c r="C1485" s="8" t="s">
        <v>15</v>
      </c>
      <c r="D1485" s="32" t="s">
        <v>43</v>
      </c>
      <c r="E1485" s="8" t="s">
        <v>44</v>
      </c>
      <c r="F1485" s="8" t="s">
        <v>3681</v>
      </c>
      <c r="G1485" s="8" t="n">
        <f aca="false">+593999469502</f>
        <v>593999469502</v>
      </c>
      <c r="H1485" s="8" t="s">
        <v>3682</v>
      </c>
      <c r="I1485" s="8"/>
      <c r="J1485" s="1"/>
      <c r="K1485" s="1" t="s">
        <v>3618</v>
      </c>
      <c r="L1485" s="1"/>
      <c r="M1485" s="1"/>
      <c r="N1485" s="1"/>
      <c r="O1485" s="1"/>
      <c r="P1485" s="6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customFormat="false" ht="21.75" hidden="false" customHeight="true" outlineLevel="0" collapsed="false">
      <c r="A1486" s="4" t="n">
        <v>43490</v>
      </c>
      <c r="B1486" s="32" t="s">
        <v>48</v>
      </c>
      <c r="C1486" s="8" t="s">
        <v>15</v>
      </c>
      <c r="D1486" s="32" t="s">
        <v>43</v>
      </c>
      <c r="E1486" s="8" t="s">
        <v>44</v>
      </c>
      <c r="F1486" s="8" t="s">
        <v>3683</v>
      </c>
      <c r="G1486" s="8" t="n">
        <f aca="false">+593979429876</f>
        <v>593979429876</v>
      </c>
      <c r="H1486" s="8" t="s">
        <v>3684</v>
      </c>
      <c r="I1486" s="8"/>
      <c r="J1486" s="1"/>
      <c r="K1486" s="1" t="s">
        <v>3685</v>
      </c>
      <c r="L1486" s="1"/>
      <c r="M1486" s="1"/>
      <c r="N1486" s="1"/>
      <c r="O1486" s="1"/>
      <c r="P1486" s="6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customFormat="false" ht="21.75" hidden="false" customHeight="true" outlineLevel="0" collapsed="false">
      <c r="A1487" s="4" t="n">
        <v>43490</v>
      </c>
      <c r="B1487" s="32" t="s">
        <v>48</v>
      </c>
      <c r="C1487" s="8" t="s">
        <v>26</v>
      </c>
      <c r="D1487" s="32" t="s">
        <v>43</v>
      </c>
      <c r="E1487" s="8" t="s">
        <v>44</v>
      </c>
      <c r="F1487" s="8" t="s">
        <v>3686</v>
      </c>
      <c r="G1487" s="8" t="n">
        <f aca="false">+593990986816</f>
        <v>593990986816</v>
      </c>
      <c r="H1487" s="8" t="s">
        <v>3687</v>
      </c>
      <c r="I1487" s="8"/>
      <c r="J1487" s="1"/>
      <c r="K1487" s="1" t="s">
        <v>3494</v>
      </c>
      <c r="L1487" s="1"/>
      <c r="M1487" s="1"/>
      <c r="N1487" s="1"/>
      <c r="O1487" s="1"/>
      <c r="P1487" s="6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customFormat="false" ht="21.75" hidden="false" customHeight="true" outlineLevel="0" collapsed="false">
      <c r="A1488" s="4" t="n">
        <v>43490</v>
      </c>
      <c r="B1488" s="32" t="s">
        <v>48</v>
      </c>
      <c r="C1488" s="8" t="s">
        <v>15</v>
      </c>
      <c r="D1488" s="32" t="s">
        <v>43</v>
      </c>
      <c r="E1488" s="8" t="s">
        <v>44</v>
      </c>
      <c r="F1488" s="8" t="s">
        <v>3688</v>
      </c>
      <c r="G1488" s="8" t="n">
        <f aca="false">+593983515747</f>
        <v>593983515747</v>
      </c>
      <c r="H1488" s="8" t="s">
        <v>3689</v>
      </c>
      <c r="I1488" s="8"/>
      <c r="J1488" s="1"/>
      <c r="K1488" s="1" t="s">
        <v>3690</v>
      </c>
      <c r="L1488" s="1"/>
      <c r="M1488" s="1"/>
      <c r="N1488" s="1"/>
      <c r="O1488" s="1"/>
      <c r="P1488" s="6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customFormat="false" ht="21.75" hidden="false" customHeight="true" outlineLevel="0" collapsed="false">
      <c r="A1489" s="4" t="n">
        <v>43490</v>
      </c>
      <c r="B1489" s="32" t="s">
        <v>48</v>
      </c>
      <c r="C1489" s="8" t="s">
        <v>15</v>
      </c>
      <c r="D1489" s="32" t="s">
        <v>43</v>
      </c>
      <c r="E1489" s="8" t="s">
        <v>44</v>
      </c>
      <c r="F1489" s="8" t="s">
        <v>3691</v>
      </c>
      <c r="G1489" s="8" t="n">
        <f aca="false">+593997587561</f>
        <v>593997587561</v>
      </c>
      <c r="H1489" s="8" t="s">
        <v>3692</v>
      </c>
      <c r="I1489" s="8"/>
      <c r="J1489" s="1"/>
      <c r="K1489" s="1" t="s">
        <v>3685</v>
      </c>
      <c r="L1489" s="1"/>
      <c r="M1489" s="1"/>
      <c r="N1489" s="1"/>
      <c r="O1489" s="1"/>
      <c r="P1489" s="6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customFormat="false" ht="21.75" hidden="false" customHeight="true" outlineLevel="0" collapsed="false">
      <c r="A1490" s="4" t="n">
        <v>43490</v>
      </c>
      <c r="B1490" s="32" t="s">
        <v>48</v>
      </c>
      <c r="C1490" s="8" t="s">
        <v>15</v>
      </c>
      <c r="D1490" s="32" t="s">
        <v>43</v>
      </c>
      <c r="E1490" s="8" t="s">
        <v>44</v>
      </c>
      <c r="F1490" s="8" t="s">
        <v>3106</v>
      </c>
      <c r="G1490" s="8" t="n">
        <f aca="false">+593939956336</f>
        <v>593939956336</v>
      </c>
      <c r="H1490" s="8" t="s">
        <v>3107</v>
      </c>
      <c r="I1490" s="8"/>
      <c r="J1490" s="1"/>
      <c r="K1490" s="1" t="s">
        <v>3693</v>
      </c>
      <c r="L1490" s="1"/>
      <c r="M1490" s="1"/>
      <c r="N1490" s="1"/>
      <c r="O1490" s="1"/>
      <c r="P1490" s="6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customFormat="false" ht="21.75" hidden="false" customHeight="true" outlineLevel="0" collapsed="false">
      <c r="A1491" s="4" t="n">
        <v>43490</v>
      </c>
      <c r="B1491" s="32" t="s">
        <v>48</v>
      </c>
      <c r="C1491" s="8" t="s">
        <v>15</v>
      </c>
      <c r="D1491" s="32" t="s">
        <v>43</v>
      </c>
      <c r="E1491" s="8" t="s">
        <v>44</v>
      </c>
      <c r="F1491" s="8" t="s">
        <v>3694</v>
      </c>
      <c r="G1491" s="8" t="n">
        <v>969926123</v>
      </c>
      <c r="H1491" s="8" t="s">
        <v>3695</v>
      </c>
      <c r="I1491" s="8"/>
      <c r="J1491" s="1"/>
      <c r="K1491" s="1" t="s">
        <v>3696</v>
      </c>
      <c r="L1491" s="1"/>
      <c r="M1491" s="1"/>
      <c r="N1491" s="1"/>
      <c r="O1491" s="1"/>
      <c r="P1491" s="6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customFormat="false" ht="21.75" hidden="false" customHeight="true" outlineLevel="0" collapsed="false">
      <c r="A1492" s="4" t="n">
        <v>43490</v>
      </c>
      <c r="B1492" s="8" t="s">
        <v>48</v>
      </c>
      <c r="C1492" s="8" t="s">
        <v>15</v>
      </c>
      <c r="D1492" s="32" t="s">
        <v>43</v>
      </c>
      <c r="E1492" s="8" t="s">
        <v>109</v>
      </c>
      <c r="F1492" s="8" t="s">
        <v>3697</v>
      </c>
      <c r="G1492" s="8" t="n">
        <v>978817515</v>
      </c>
      <c r="H1492" s="8" t="s">
        <v>3698</v>
      </c>
      <c r="I1492" s="8"/>
      <c r="J1492" s="1"/>
      <c r="K1492" s="1" t="s">
        <v>3494</v>
      </c>
      <c r="L1492" s="1"/>
      <c r="M1492" s="1"/>
      <c r="N1492" s="1"/>
      <c r="O1492" s="1"/>
      <c r="P1492" s="6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customFormat="false" ht="21.75" hidden="false" customHeight="true" outlineLevel="0" collapsed="false">
      <c r="A1493" s="4" t="n">
        <v>43490</v>
      </c>
      <c r="B1493" s="8" t="s">
        <v>48</v>
      </c>
      <c r="C1493" s="8" t="s">
        <v>15</v>
      </c>
      <c r="D1493" s="32" t="s">
        <v>43</v>
      </c>
      <c r="E1493" s="8" t="s">
        <v>109</v>
      </c>
      <c r="F1493" s="8" t="s">
        <v>3699</v>
      </c>
      <c r="G1493" s="8" t="n">
        <f aca="false">+593985280991</f>
        <v>593985280991</v>
      </c>
      <c r="H1493" s="8" t="s">
        <v>3700</v>
      </c>
      <c r="I1493" s="8"/>
      <c r="J1493" s="1"/>
      <c r="K1493" s="1" t="s">
        <v>3509</v>
      </c>
      <c r="L1493" s="1"/>
      <c r="M1493" s="1"/>
      <c r="N1493" s="1"/>
      <c r="O1493" s="1"/>
      <c r="P1493" s="6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customFormat="false" ht="21.75" hidden="false" customHeight="true" outlineLevel="0" collapsed="false">
      <c r="A1494" s="4" t="n">
        <v>43490</v>
      </c>
      <c r="B1494" s="8" t="s">
        <v>48</v>
      </c>
      <c r="C1494" s="8" t="s">
        <v>15</v>
      </c>
      <c r="D1494" s="32" t="s">
        <v>43</v>
      </c>
      <c r="E1494" s="8" t="s">
        <v>109</v>
      </c>
      <c r="F1494" s="8" t="s">
        <v>3701</v>
      </c>
      <c r="G1494" s="8" t="n">
        <f aca="false">+593989568911</f>
        <v>593989568911</v>
      </c>
      <c r="H1494" s="8" t="s">
        <v>3702</v>
      </c>
      <c r="I1494" s="8"/>
      <c r="J1494" s="1"/>
      <c r="K1494" s="1" t="s">
        <v>751</v>
      </c>
      <c r="L1494" s="1"/>
      <c r="M1494" s="1"/>
      <c r="N1494" s="1"/>
      <c r="O1494" s="1"/>
      <c r="P1494" s="6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customFormat="false" ht="21.75" hidden="false" customHeight="true" outlineLevel="0" collapsed="false">
      <c r="A1495" s="4" t="n">
        <v>43490</v>
      </c>
      <c r="B1495" s="8" t="s">
        <v>48</v>
      </c>
      <c r="C1495" s="8" t="s">
        <v>15</v>
      </c>
      <c r="D1495" s="32" t="s">
        <v>43</v>
      </c>
      <c r="E1495" s="8" t="s">
        <v>109</v>
      </c>
      <c r="F1495" s="8" t="s">
        <v>3703</v>
      </c>
      <c r="G1495" s="8" t="n">
        <f aca="false">+593960695248</f>
        <v>593960695248</v>
      </c>
      <c r="H1495" s="8" t="s">
        <v>3704</v>
      </c>
      <c r="I1495" s="8"/>
      <c r="J1495" s="1"/>
      <c r="K1495" s="1" t="s">
        <v>751</v>
      </c>
      <c r="L1495" s="1"/>
      <c r="M1495" s="1"/>
      <c r="N1495" s="1"/>
      <c r="O1495" s="1"/>
      <c r="P1495" s="6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customFormat="false" ht="21.75" hidden="false" customHeight="true" outlineLevel="0" collapsed="false">
      <c r="A1496" s="4" t="n">
        <v>43490</v>
      </c>
      <c r="B1496" s="8" t="s">
        <v>48</v>
      </c>
      <c r="C1496" s="8" t="s">
        <v>15</v>
      </c>
      <c r="D1496" s="32" t="s">
        <v>43</v>
      </c>
      <c r="E1496" s="8" t="s">
        <v>109</v>
      </c>
      <c r="F1496" s="8" t="s">
        <v>3705</v>
      </c>
      <c r="G1496" s="8" t="n">
        <f aca="false">+5930986268398</f>
        <v>5930986268398</v>
      </c>
      <c r="H1496" s="8" t="s">
        <v>3706</v>
      </c>
      <c r="I1496" s="8"/>
      <c r="J1496" s="1"/>
      <c r="K1496" s="1" t="s">
        <v>3380</v>
      </c>
      <c r="L1496" s="1"/>
      <c r="M1496" s="1"/>
      <c r="N1496" s="1"/>
      <c r="O1496" s="1"/>
      <c r="P1496" s="6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customFormat="false" ht="21.75" hidden="false" customHeight="true" outlineLevel="0" collapsed="false">
      <c r="A1497" s="4" t="n">
        <v>43490</v>
      </c>
      <c r="B1497" s="8" t="s">
        <v>48</v>
      </c>
      <c r="C1497" s="8" t="s">
        <v>15</v>
      </c>
      <c r="D1497" s="32" t="s">
        <v>43</v>
      </c>
      <c r="E1497" s="8" t="s">
        <v>109</v>
      </c>
      <c r="F1497" s="8" t="s">
        <v>3707</v>
      </c>
      <c r="G1497" s="8" t="n">
        <f aca="false">+593996313970</f>
        <v>593996313970</v>
      </c>
      <c r="H1497" s="8" t="s">
        <v>3708</v>
      </c>
      <c r="I1497" s="8"/>
      <c r="J1497" s="1"/>
      <c r="K1497" s="1" t="s">
        <v>3709</v>
      </c>
      <c r="L1497" s="1"/>
      <c r="M1497" s="1"/>
      <c r="N1497" s="1"/>
      <c r="O1497" s="1"/>
      <c r="P1497" s="6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customFormat="false" ht="21.75" hidden="false" customHeight="true" outlineLevel="0" collapsed="false">
      <c r="A1498" s="4" t="n">
        <v>43490</v>
      </c>
      <c r="B1498" s="8" t="s">
        <v>48</v>
      </c>
      <c r="C1498" s="8" t="s">
        <v>15</v>
      </c>
      <c r="D1498" s="32" t="s">
        <v>43</v>
      </c>
      <c r="E1498" s="8" t="s">
        <v>109</v>
      </c>
      <c r="F1498" s="8" t="s">
        <v>3710</v>
      </c>
      <c r="G1498" s="8" t="n">
        <f aca="false">+5930980647402</f>
        <v>5930980647402</v>
      </c>
      <c r="H1498" s="8" t="s">
        <v>3711</v>
      </c>
      <c r="I1498" s="8"/>
      <c r="J1498" s="1"/>
      <c r="K1498" s="1" t="s">
        <v>3494</v>
      </c>
      <c r="L1498" s="1"/>
      <c r="M1498" s="1"/>
      <c r="N1498" s="1"/>
      <c r="O1498" s="1"/>
      <c r="P1498" s="6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customFormat="false" ht="21.75" hidden="false" customHeight="true" outlineLevel="0" collapsed="false">
      <c r="A1499" s="4" t="n">
        <v>43490</v>
      </c>
      <c r="B1499" s="8" t="s">
        <v>48</v>
      </c>
      <c r="C1499" s="8" t="s">
        <v>15</v>
      </c>
      <c r="D1499" s="32" t="s">
        <v>43</v>
      </c>
      <c r="E1499" s="8" t="s">
        <v>109</v>
      </c>
      <c r="F1499" s="8" t="s">
        <v>3712</v>
      </c>
      <c r="G1499" s="8" t="n">
        <v>990176617</v>
      </c>
      <c r="H1499" s="8" t="s">
        <v>3713</v>
      </c>
      <c r="I1499" s="8"/>
      <c r="J1499" s="1"/>
      <c r="K1499" s="1" t="s">
        <v>3714</v>
      </c>
      <c r="L1499" s="1"/>
      <c r="M1499" s="1"/>
      <c r="N1499" s="1"/>
      <c r="O1499" s="1"/>
      <c r="P1499" s="6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customFormat="false" ht="21.75" hidden="false" customHeight="true" outlineLevel="0" collapsed="false">
      <c r="A1500" s="4" t="n">
        <v>43490</v>
      </c>
      <c r="B1500" s="8" t="s">
        <v>48</v>
      </c>
      <c r="C1500" s="8" t="s">
        <v>15</v>
      </c>
      <c r="D1500" s="32" t="s">
        <v>43</v>
      </c>
      <c r="E1500" s="8" t="s">
        <v>109</v>
      </c>
      <c r="F1500" s="8" t="s">
        <v>3715</v>
      </c>
      <c r="G1500" s="8" t="n">
        <f aca="false">+593994811532</f>
        <v>593994811532</v>
      </c>
      <c r="H1500" s="8" t="s">
        <v>3716</v>
      </c>
      <c r="I1500" s="8"/>
      <c r="J1500" s="1"/>
      <c r="K1500" s="1" t="s">
        <v>3494</v>
      </c>
      <c r="L1500" s="1"/>
      <c r="M1500" s="1"/>
      <c r="N1500" s="1"/>
      <c r="O1500" s="1"/>
      <c r="P1500" s="6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customFormat="false" ht="21.75" hidden="false" customHeight="true" outlineLevel="0" collapsed="false">
      <c r="A1501" s="4" t="n">
        <v>43490</v>
      </c>
      <c r="B1501" s="8" t="s">
        <v>48</v>
      </c>
      <c r="C1501" s="8" t="s">
        <v>15</v>
      </c>
      <c r="D1501" s="32" t="s">
        <v>43</v>
      </c>
      <c r="E1501" s="8" t="s">
        <v>109</v>
      </c>
      <c r="F1501" s="8" t="s">
        <v>3717</v>
      </c>
      <c r="G1501" s="8" t="n">
        <f aca="false">+593939046445</f>
        <v>593939046445</v>
      </c>
      <c r="H1501" s="8" t="s">
        <v>3718</v>
      </c>
      <c r="I1501" s="8"/>
      <c r="J1501" s="1"/>
      <c r="K1501" s="1" t="s">
        <v>3494</v>
      </c>
      <c r="L1501" s="1"/>
      <c r="M1501" s="1"/>
      <c r="N1501" s="1"/>
      <c r="O1501" s="1"/>
      <c r="P1501" s="6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customFormat="false" ht="21.75" hidden="false" customHeight="true" outlineLevel="0" collapsed="false">
      <c r="A1502" s="4" t="n">
        <v>43490</v>
      </c>
      <c r="B1502" s="8" t="s">
        <v>48</v>
      </c>
      <c r="C1502" s="8" t="s">
        <v>26</v>
      </c>
      <c r="D1502" s="32" t="s">
        <v>43</v>
      </c>
      <c r="E1502" s="8" t="s">
        <v>109</v>
      </c>
      <c r="F1502" s="8" t="s">
        <v>3719</v>
      </c>
      <c r="G1502" s="8" t="n">
        <f aca="false">+593992377142</f>
        <v>593992377142</v>
      </c>
      <c r="H1502" s="8" t="s">
        <v>3720</v>
      </c>
      <c r="I1502" s="8"/>
      <c r="J1502" s="1"/>
      <c r="K1502" s="1" t="s">
        <v>3494</v>
      </c>
      <c r="L1502" s="1"/>
      <c r="M1502" s="1"/>
      <c r="N1502" s="1"/>
      <c r="O1502" s="1"/>
      <c r="P1502" s="6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customFormat="false" ht="21.75" hidden="false" customHeight="true" outlineLevel="0" collapsed="false">
      <c r="A1503" s="4" t="n">
        <v>43490</v>
      </c>
      <c r="B1503" s="32" t="s">
        <v>48</v>
      </c>
      <c r="C1503" s="8" t="s">
        <v>15</v>
      </c>
      <c r="D1503" s="32" t="s">
        <v>43</v>
      </c>
      <c r="E1503" s="8" t="s">
        <v>109</v>
      </c>
      <c r="F1503" s="8" t="s">
        <v>3721</v>
      </c>
      <c r="G1503" s="8" t="n">
        <v>999745253</v>
      </c>
      <c r="H1503" s="8"/>
      <c r="I1503" s="8"/>
      <c r="J1503" s="1"/>
      <c r="K1503" s="1" t="s">
        <v>3518</v>
      </c>
      <c r="L1503" s="1"/>
      <c r="M1503" s="1"/>
      <c r="N1503" s="1"/>
      <c r="O1503" s="1"/>
      <c r="P1503" s="6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customFormat="false" ht="21.75" hidden="false" customHeight="true" outlineLevel="0" collapsed="false">
      <c r="A1504" s="4" t="n">
        <v>43490</v>
      </c>
      <c r="B1504" s="8" t="s">
        <v>532</v>
      </c>
      <c r="C1504" s="8" t="s">
        <v>15</v>
      </c>
      <c r="D1504" s="32" t="s">
        <v>43</v>
      </c>
      <c r="E1504" s="8" t="s">
        <v>109</v>
      </c>
      <c r="F1504" s="8" t="s">
        <v>3722</v>
      </c>
      <c r="G1504" s="8" t="n">
        <f aca="false">+593989249578</f>
        <v>593989249578</v>
      </c>
      <c r="H1504" s="8" t="s">
        <v>3723</v>
      </c>
      <c r="I1504" s="8"/>
      <c r="J1504" s="1"/>
      <c r="K1504" s="1" t="s">
        <v>3494</v>
      </c>
      <c r="L1504" s="1"/>
      <c r="M1504" s="1"/>
      <c r="N1504" s="1"/>
      <c r="O1504" s="1"/>
      <c r="P1504" s="6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customFormat="false" ht="21.75" hidden="false" customHeight="true" outlineLevel="0" collapsed="false">
      <c r="A1505" s="4" t="n">
        <v>43490</v>
      </c>
      <c r="B1505" s="8" t="s">
        <v>532</v>
      </c>
      <c r="C1505" s="8" t="s">
        <v>15</v>
      </c>
      <c r="D1505" s="32" t="s">
        <v>43</v>
      </c>
      <c r="E1505" s="8" t="s">
        <v>109</v>
      </c>
      <c r="F1505" s="8" t="s">
        <v>3724</v>
      </c>
      <c r="G1505" s="8" t="n">
        <f aca="false">+593980205116</f>
        <v>593980205116</v>
      </c>
      <c r="H1505" s="8" t="s">
        <v>3725</v>
      </c>
      <c r="I1505" s="8"/>
      <c r="J1505" s="1"/>
      <c r="K1505" s="1" t="s">
        <v>3494</v>
      </c>
      <c r="L1505" s="1"/>
      <c r="M1505" s="1"/>
      <c r="N1505" s="1"/>
      <c r="O1505" s="1"/>
      <c r="P1505" s="6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customFormat="false" ht="21.75" hidden="false" customHeight="true" outlineLevel="0" collapsed="false">
      <c r="A1506" s="4" t="n">
        <v>43490</v>
      </c>
      <c r="B1506" s="8" t="s">
        <v>532</v>
      </c>
      <c r="C1506" s="8" t="s">
        <v>15</v>
      </c>
      <c r="D1506" s="32" t="s">
        <v>43</v>
      </c>
      <c r="E1506" s="8" t="s">
        <v>109</v>
      </c>
      <c r="F1506" s="8" t="s">
        <v>3726</v>
      </c>
      <c r="G1506" s="8" t="n">
        <f aca="false">+593993641377</f>
        <v>593993641377</v>
      </c>
      <c r="H1506" s="8" t="s">
        <v>3727</v>
      </c>
      <c r="I1506" s="8"/>
      <c r="J1506" s="1"/>
      <c r="K1506" s="1" t="s">
        <v>3494</v>
      </c>
      <c r="L1506" s="1"/>
      <c r="M1506" s="1"/>
      <c r="N1506" s="1"/>
      <c r="O1506" s="1"/>
      <c r="P1506" s="6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customFormat="false" ht="21.75" hidden="false" customHeight="true" outlineLevel="0" collapsed="false">
      <c r="A1507" s="4" t="n">
        <v>43490</v>
      </c>
      <c r="B1507" s="8" t="s">
        <v>532</v>
      </c>
      <c r="C1507" s="8" t="s">
        <v>15</v>
      </c>
      <c r="D1507" s="32" t="s">
        <v>43</v>
      </c>
      <c r="E1507" s="8" t="s">
        <v>109</v>
      </c>
      <c r="F1507" s="8" t="s">
        <v>3728</v>
      </c>
      <c r="G1507" s="8" t="n">
        <v>991750755</v>
      </c>
      <c r="H1507" s="8" t="s">
        <v>3729</v>
      </c>
      <c r="I1507" s="8"/>
      <c r="J1507" s="1"/>
      <c r="K1507" s="1" t="s">
        <v>3714</v>
      </c>
      <c r="L1507" s="1"/>
      <c r="M1507" s="1"/>
      <c r="N1507" s="1"/>
      <c r="O1507" s="1"/>
      <c r="P1507" s="6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customFormat="false" ht="21.75" hidden="false" customHeight="true" outlineLevel="0" collapsed="false">
      <c r="A1508" s="4" t="n">
        <v>43490</v>
      </c>
      <c r="B1508" s="8" t="s">
        <v>532</v>
      </c>
      <c r="C1508" s="8" t="s">
        <v>15</v>
      </c>
      <c r="D1508" s="32" t="s">
        <v>43</v>
      </c>
      <c r="E1508" s="8" t="s">
        <v>109</v>
      </c>
      <c r="F1508" s="8" t="s">
        <v>3730</v>
      </c>
      <c r="G1508" s="8" t="n">
        <f aca="false">+593989742597</f>
        <v>593989742597</v>
      </c>
      <c r="H1508" s="8" t="s">
        <v>3731</v>
      </c>
      <c r="I1508" s="8"/>
      <c r="J1508" s="1"/>
      <c r="K1508" s="1" t="s">
        <v>3494</v>
      </c>
      <c r="L1508" s="1"/>
      <c r="M1508" s="1"/>
      <c r="N1508" s="1"/>
      <c r="O1508" s="1"/>
      <c r="P1508" s="6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customFormat="false" ht="21.75" hidden="false" customHeight="true" outlineLevel="0" collapsed="false">
      <c r="A1509" s="4" t="n">
        <v>43490</v>
      </c>
      <c r="B1509" s="8" t="s">
        <v>532</v>
      </c>
      <c r="C1509" s="8" t="s">
        <v>15</v>
      </c>
      <c r="D1509" s="32" t="s">
        <v>43</v>
      </c>
      <c r="E1509" s="8" t="s">
        <v>109</v>
      </c>
      <c r="F1509" s="8" t="s">
        <v>3732</v>
      </c>
      <c r="G1509" s="8" t="n">
        <f aca="false">+5930984174608</f>
        <v>5930984174608</v>
      </c>
      <c r="H1509" s="8" t="s">
        <v>3733</v>
      </c>
      <c r="I1509" s="8"/>
      <c r="J1509" s="1"/>
      <c r="K1509" s="1" t="s">
        <v>3369</v>
      </c>
      <c r="L1509" s="1"/>
      <c r="M1509" s="1"/>
      <c r="N1509" s="1"/>
      <c r="O1509" s="1"/>
      <c r="P1509" s="6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customFormat="false" ht="21.75" hidden="false" customHeight="true" outlineLevel="0" collapsed="false">
      <c r="A1510" s="4" t="n">
        <v>43490</v>
      </c>
      <c r="B1510" s="8" t="s">
        <v>532</v>
      </c>
      <c r="C1510" s="8" t="s">
        <v>15</v>
      </c>
      <c r="D1510" s="32" t="s">
        <v>43</v>
      </c>
      <c r="E1510" s="8" t="s">
        <v>109</v>
      </c>
      <c r="F1510" s="8" t="s">
        <v>3734</v>
      </c>
      <c r="G1510" s="8" t="n">
        <f aca="false">+593967302680</f>
        <v>593967302680</v>
      </c>
      <c r="H1510" s="8" t="s">
        <v>3735</v>
      </c>
      <c r="I1510" s="8"/>
      <c r="J1510" s="1"/>
      <c r="K1510" s="1" t="s">
        <v>3494</v>
      </c>
      <c r="L1510" s="1"/>
      <c r="M1510" s="1"/>
      <c r="N1510" s="1"/>
      <c r="O1510" s="1"/>
      <c r="P1510" s="6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customFormat="false" ht="21.75" hidden="false" customHeight="true" outlineLevel="0" collapsed="false">
      <c r="A1511" s="4" t="n">
        <v>43490</v>
      </c>
      <c r="B1511" s="8" t="s">
        <v>127</v>
      </c>
      <c r="C1511" s="8" t="s">
        <v>15</v>
      </c>
      <c r="D1511" s="32" t="s">
        <v>43</v>
      </c>
      <c r="E1511" s="8" t="s">
        <v>883</v>
      </c>
      <c r="F1511" s="8" t="s">
        <v>3736</v>
      </c>
      <c r="G1511" s="8" t="n">
        <f aca="false">+5930990745383</f>
        <v>5930990745383</v>
      </c>
      <c r="H1511" s="8" t="s">
        <v>3737</v>
      </c>
      <c r="I1511" s="8"/>
      <c r="J1511" s="1"/>
      <c r="K1511" s="1" t="s">
        <v>3738</v>
      </c>
      <c r="L1511" s="1"/>
      <c r="M1511" s="1"/>
      <c r="N1511" s="1"/>
      <c r="O1511" s="1"/>
      <c r="P1511" s="6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customFormat="false" ht="21.75" hidden="false" customHeight="true" outlineLevel="0" collapsed="false">
      <c r="A1512" s="4" t="n">
        <v>43490</v>
      </c>
      <c r="B1512" s="8" t="s">
        <v>127</v>
      </c>
      <c r="C1512" s="8" t="s">
        <v>15</v>
      </c>
      <c r="D1512" s="32" t="s">
        <v>43</v>
      </c>
      <c r="E1512" s="8" t="s">
        <v>883</v>
      </c>
      <c r="F1512" s="8" t="s">
        <v>3739</v>
      </c>
      <c r="G1512" s="8" t="n">
        <f aca="false">+593994175459</f>
        <v>593994175459</v>
      </c>
      <c r="H1512" s="8" t="s">
        <v>3740</v>
      </c>
      <c r="I1512" s="8"/>
      <c r="J1512" s="1"/>
      <c r="K1512" s="1" t="s">
        <v>3741</v>
      </c>
      <c r="L1512" s="1"/>
      <c r="M1512" s="1"/>
      <c r="N1512" s="1"/>
      <c r="O1512" s="1"/>
      <c r="P1512" s="6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customFormat="false" ht="21.75" hidden="false" customHeight="true" outlineLevel="0" collapsed="false">
      <c r="A1513" s="4" t="n">
        <v>43490</v>
      </c>
      <c r="B1513" s="8" t="s">
        <v>127</v>
      </c>
      <c r="C1513" s="8" t="s">
        <v>26</v>
      </c>
      <c r="D1513" s="32" t="s">
        <v>43</v>
      </c>
      <c r="E1513" s="8" t="s">
        <v>883</v>
      </c>
      <c r="F1513" s="8" t="s">
        <v>3742</v>
      </c>
      <c r="G1513" s="8" t="n">
        <f aca="false">+5930985455161</f>
        <v>5930985455161</v>
      </c>
      <c r="H1513" s="8" t="s">
        <v>3396</v>
      </c>
      <c r="I1513" s="8"/>
      <c r="J1513" s="1"/>
      <c r="K1513" s="1" t="s">
        <v>3743</v>
      </c>
      <c r="L1513" s="1"/>
      <c r="M1513" s="1"/>
      <c r="N1513" s="1"/>
      <c r="O1513" s="1"/>
      <c r="P1513" s="6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customFormat="false" ht="21.75" hidden="false" customHeight="true" outlineLevel="0" collapsed="false">
      <c r="A1514" s="4" t="n">
        <v>43490</v>
      </c>
      <c r="B1514" s="8" t="s">
        <v>127</v>
      </c>
      <c r="C1514" s="8" t="s">
        <v>15</v>
      </c>
      <c r="D1514" s="32" t="s">
        <v>43</v>
      </c>
      <c r="E1514" s="8" t="s">
        <v>883</v>
      </c>
      <c r="F1514" s="8" t="s">
        <v>3744</v>
      </c>
      <c r="G1514" s="8" t="n">
        <v>986436095</v>
      </c>
      <c r="H1514" s="8" t="s">
        <v>3745</v>
      </c>
      <c r="I1514" s="8"/>
      <c r="J1514" s="1"/>
      <c r="K1514" s="1" t="s">
        <v>3494</v>
      </c>
      <c r="L1514" s="1"/>
      <c r="M1514" s="1"/>
      <c r="N1514" s="1"/>
      <c r="O1514" s="1"/>
      <c r="P1514" s="6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customFormat="false" ht="21.75" hidden="false" customHeight="true" outlineLevel="0" collapsed="false">
      <c r="A1515" s="4" t="n">
        <v>43490</v>
      </c>
      <c r="B1515" s="32" t="s">
        <v>127</v>
      </c>
      <c r="C1515" s="8" t="s">
        <v>15</v>
      </c>
      <c r="D1515" s="32" t="s">
        <v>43</v>
      </c>
      <c r="E1515" s="8" t="s">
        <v>44</v>
      </c>
      <c r="F1515" s="8" t="s">
        <v>3746</v>
      </c>
      <c r="G1515" s="8" t="n">
        <f aca="false">+593958600114</f>
        <v>593958600114</v>
      </c>
      <c r="H1515" s="8" t="s">
        <v>3747</v>
      </c>
      <c r="I1515" s="8"/>
      <c r="J1515" s="1"/>
      <c r="K1515" s="1" t="s">
        <v>3494</v>
      </c>
      <c r="L1515" s="1"/>
      <c r="M1515" s="1"/>
      <c r="N1515" s="1"/>
      <c r="O1515" s="1"/>
      <c r="P1515" s="6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customFormat="false" ht="21.75" hidden="false" customHeight="true" outlineLevel="0" collapsed="false">
      <c r="A1516" s="4" t="n">
        <v>43490</v>
      </c>
      <c r="B1516" s="8" t="s">
        <v>127</v>
      </c>
      <c r="C1516" s="8" t="s">
        <v>15</v>
      </c>
      <c r="D1516" s="32" t="s">
        <v>43</v>
      </c>
      <c r="E1516" s="8" t="s">
        <v>109</v>
      </c>
      <c r="F1516" s="8" t="s">
        <v>3748</v>
      </c>
      <c r="G1516" s="8" t="n">
        <v>990877188</v>
      </c>
      <c r="H1516" s="8" t="s">
        <v>3749</v>
      </c>
      <c r="I1516" s="8"/>
      <c r="J1516" s="1"/>
      <c r="K1516" s="1" t="s">
        <v>3494</v>
      </c>
      <c r="L1516" s="1"/>
      <c r="M1516" s="1"/>
      <c r="N1516" s="1"/>
      <c r="O1516" s="1"/>
      <c r="P1516" s="6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customFormat="false" ht="21.75" hidden="false" customHeight="true" outlineLevel="0" collapsed="false">
      <c r="A1517" s="4" t="n">
        <v>43490</v>
      </c>
      <c r="B1517" s="8" t="s">
        <v>127</v>
      </c>
      <c r="C1517" s="8" t="s">
        <v>15</v>
      </c>
      <c r="D1517" s="32" t="s">
        <v>43</v>
      </c>
      <c r="E1517" s="8" t="s">
        <v>109</v>
      </c>
      <c r="F1517" s="8" t="s">
        <v>3750</v>
      </c>
      <c r="G1517" s="8" t="n">
        <f aca="false">+5930981444762</f>
        <v>5930981444762</v>
      </c>
      <c r="H1517" s="8" t="s">
        <v>3751</v>
      </c>
      <c r="I1517" s="8"/>
      <c r="J1517" s="1"/>
      <c r="K1517" s="1" t="s">
        <v>3494</v>
      </c>
      <c r="L1517" s="1"/>
      <c r="M1517" s="1"/>
      <c r="N1517" s="1"/>
      <c r="O1517" s="1"/>
      <c r="P1517" s="6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customFormat="false" ht="21.75" hidden="false" customHeight="true" outlineLevel="0" collapsed="false">
      <c r="A1518" s="4" t="n">
        <v>43490</v>
      </c>
      <c r="B1518" s="8" t="s">
        <v>1114</v>
      </c>
      <c r="C1518" s="8" t="s">
        <v>15</v>
      </c>
      <c r="D1518" s="32" t="s">
        <v>43</v>
      </c>
      <c r="E1518" s="8" t="s">
        <v>883</v>
      </c>
      <c r="F1518" s="8" t="s">
        <v>3752</v>
      </c>
      <c r="G1518" s="8" t="n">
        <f aca="false">+593981871552</f>
        <v>593981871552</v>
      </c>
      <c r="H1518" s="8" t="s">
        <v>3753</v>
      </c>
      <c r="I1518" s="8"/>
      <c r="J1518" s="1"/>
      <c r="K1518" s="1" t="s">
        <v>3545</v>
      </c>
      <c r="L1518" s="1"/>
      <c r="M1518" s="1"/>
      <c r="N1518" s="1"/>
      <c r="O1518" s="1"/>
      <c r="P1518" s="6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customFormat="false" ht="21.75" hidden="false" customHeight="true" outlineLevel="0" collapsed="false">
      <c r="A1519" s="4" t="n">
        <v>43490</v>
      </c>
      <c r="B1519" s="8" t="s">
        <v>1114</v>
      </c>
      <c r="C1519" s="8" t="s">
        <v>15</v>
      </c>
      <c r="D1519" s="32" t="s">
        <v>43</v>
      </c>
      <c r="E1519" s="8" t="s">
        <v>883</v>
      </c>
      <c r="F1519" s="8" t="s">
        <v>992</v>
      </c>
      <c r="G1519" s="8" t="n">
        <f aca="false">+5930984109020</f>
        <v>5930984109020</v>
      </c>
      <c r="H1519" s="8" t="s">
        <v>993</v>
      </c>
      <c r="I1519" s="8"/>
      <c r="J1519" s="1"/>
      <c r="K1519" s="1" t="s">
        <v>3372</v>
      </c>
      <c r="L1519" s="1"/>
      <c r="M1519" s="1"/>
      <c r="N1519" s="1"/>
      <c r="O1519" s="1"/>
      <c r="P1519" s="6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customFormat="false" ht="21.75" hidden="false" customHeight="true" outlineLevel="0" collapsed="false">
      <c r="A1520" s="4" t="n">
        <v>43490</v>
      </c>
      <c r="B1520" s="8" t="s">
        <v>1114</v>
      </c>
      <c r="C1520" s="8" t="s">
        <v>15</v>
      </c>
      <c r="D1520" s="32" t="s">
        <v>43</v>
      </c>
      <c r="E1520" s="8" t="s">
        <v>883</v>
      </c>
      <c r="F1520" s="8" t="s">
        <v>3754</v>
      </c>
      <c r="G1520" s="8" t="n">
        <f aca="false">+593959106256</f>
        <v>593959106256</v>
      </c>
      <c r="H1520" s="8" t="s">
        <v>3755</v>
      </c>
      <c r="I1520" s="8"/>
      <c r="J1520" s="1"/>
      <c r="K1520" s="1" t="s">
        <v>3756</v>
      </c>
      <c r="L1520" s="1"/>
      <c r="M1520" s="1"/>
      <c r="N1520" s="1"/>
      <c r="O1520" s="1"/>
      <c r="P1520" s="6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customFormat="false" ht="21.75" hidden="false" customHeight="true" outlineLevel="0" collapsed="false">
      <c r="A1521" s="4" t="n">
        <v>43490</v>
      </c>
      <c r="B1521" s="8" t="s">
        <v>1114</v>
      </c>
      <c r="C1521" s="8" t="s">
        <v>15</v>
      </c>
      <c r="D1521" s="32" t="s">
        <v>43</v>
      </c>
      <c r="E1521" s="8" t="s">
        <v>883</v>
      </c>
      <c r="F1521" s="8" t="s">
        <v>3405</v>
      </c>
      <c r="G1521" s="8" t="n">
        <f aca="false">+593983660848</f>
        <v>593983660848</v>
      </c>
      <c r="H1521" s="8" t="s">
        <v>3757</v>
      </c>
      <c r="I1521" s="8"/>
      <c r="J1521" s="1"/>
      <c r="K1521" s="1" t="s">
        <v>3758</v>
      </c>
      <c r="L1521" s="1"/>
      <c r="M1521" s="1"/>
      <c r="N1521" s="1"/>
      <c r="O1521" s="1"/>
      <c r="P1521" s="6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customFormat="false" ht="21.75" hidden="false" customHeight="true" outlineLevel="0" collapsed="false">
      <c r="A1522" s="4" t="n">
        <v>43490</v>
      </c>
      <c r="B1522" s="8" t="s">
        <v>1114</v>
      </c>
      <c r="C1522" s="8" t="s">
        <v>15</v>
      </c>
      <c r="D1522" s="32" t="s">
        <v>43</v>
      </c>
      <c r="E1522" s="8" t="s">
        <v>883</v>
      </c>
      <c r="F1522" s="8" t="s">
        <v>3759</v>
      </c>
      <c r="G1522" s="8" t="n">
        <f aca="false">+593978943256</f>
        <v>593978943256</v>
      </c>
      <c r="H1522" s="8" t="s">
        <v>3760</v>
      </c>
      <c r="I1522" s="8"/>
      <c r="J1522" s="1"/>
      <c r="K1522" s="1" t="s">
        <v>58</v>
      </c>
      <c r="L1522" s="1"/>
      <c r="M1522" s="1"/>
      <c r="N1522" s="1"/>
      <c r="O1522" s="1"/>
      <c r="P1522" s="6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customFormat="false" ht="21.75" hidden="false" customHeight="true" outlineLevel="0" collapsed="false">
      <c r="A1523" s="4" t="n">
        <v>43490</v>
      </c>
      <c r="B1523" s="8" t="s">
        <v>1114</v>
      </c>
      <c r="C1523" s="8" t="s">
        <v>15</v>
      </c>
      <c r="D1523" s="32" t="s">
        <v>43</v>
      </c>
      <c r="E1523" s="8" t="s">
        <v>883</v>
      </c>
      <c r="F1523" s="8" t="s">
        <v>3761</v>
      </c>
      <c r="G1523" s="8" t="n">
        <f aca="false">+593989269905</f>
        <v>593989269905</v>
      </c>
      <c r="H1523" s="8" t="s">
        <v>3762</v>
      </c>
      <c r="I1523" s="8"/>
      <c r="J1523" s="1"/>
      <c r="K1523" s="1" t="s">
        <v>31</v>
      </c>
      <c r="L1523" s="1"/>
      <c r="M1523" s="1"/>
      <c r="N1523" s="1"/>
      <c r="O1523" s="1"/>
      <c r="P1523" s="6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customFormat="false" ht="21.75" hidden="false" customHeight="true" outlineLevel="0" collapsed="false">
      <c r="A1524" s="4" t="n">
        <v>43490</v>
      </c>
      <c r="B1524" s="8" t="s">
        <v>1114</v>
      </c>
      <c r="C1524" s="8" t="s">
        <v>15</v>
      </c>
      <c r="D1524" s="32" t="s">
        <v>43</v>
      </c>
      <c r="E1524" s="8" t="s">
        <v>883</v>
      </c>
      <c r="F1524" s="8" t="s">
        <v>3763</v>
      </c>
      <c r="G1524" s="8" t="n">
        <f aca="false">+593987080970</f>
        <v>593987080970</v>
      </c>
      <c r="H1524" s="8" t="s">
        <v>3764</v>
      </c>
      <c r="I1524" s="8"/>
      <c r="J1524" s="1"/>
      <c r="K1524" s="1" t="s">
        <v>3509</v>
      </c>
      <c r="L1524" s="1"/>
      <c r="M1524" s="1"/>
      <c r="N1524" s="1"/>
      <c r="O1524" s="1"/>
      <c r="P1524" s="6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customFormat="false" ht="21.75" hidden="false" customHeight="true" outlineLevel="0" collapsed="false">
      <c r="A1525" s="4" t="n">
        <v>43490</v>
      </c>
      <c r="B1525" s="8" t="s">
        <v>1114</v>
      </c>
      <c r="C1525" s="8" t="s">
        <v>15</v>
      </c>
      <c r="D1525" s="32" t="s">
        <v>43</v>
      </c>
      <c r="E1525" s="8" t="s">
        <v>109</v>
      </c>
      <c r="F1525" s="8" t="s">
        <v>3765</v>
      </c>
      <c r="G1525" s="8" t="n">
        <v>960050725</v>
      </c>
      <c r="H1525" s="8" t="s">
        <v>3766</v>
      </c>
      <c r="I1525" s="8"/>
      <c r="J1525" s="1"/>
      <c r="K1525" s="1" t="s">
        <v>3494</v>
      </c>
      <c r="L1525" s="1"/>
      <c r="M1525" s="1"/>
      <c r="N1525" s="1"/>
      <c r="O1525" s="1"/>
      <c r="P1525" s="6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customFormat="false" ht="21.75" hidden="false" customHeight="true" outlineLevel="0" collapsed="false">
      <c r="A1526" s="4" t="n">
        <v>43490</v>
      </c>
      <c r="B1526" s="8" t="s">
        <v>1114</v>
      </c>
      <c r="C1526" s="8" t="s">
        <v>15</v>
      </c>
      <c r="D1526" s="32" t="s">
        <v>43</v>
      </c>
      <c r="E1526" s="8" t="s">
        <v>109</v>
      </c>
      <c r="F1526" s="8" t="s">
        <v>3767</v>
      </c>
      <c r="G1526" s="8" t="n">
        <f aca="false">+5930990462943</f>
        <v>5930990462943</v>
      </c>
      <c r="H1526" s="8" t="s">
        <v>3768</v>
      </c>
      <c r="I1526" s="8"/>
      <c r="J1526" s="1"/>
      <c r="K1526" s="1" t="s">
        <v>3769</v>
      </c>
      <c r="L1526" s="1"/>
      <c r="M1526" s="1"/>
      <c r="N1526" s="1"/>
      <c r="O1526" s="1"/>
      <c r="P1526" s="6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customFormat="false" ht="21.75" hidden="false" customHeight="true" outlineLevel="0" collapsed="false">
      <c r="A1527" s="4" t="n">
        <v>43490</v>
      </c>
      <c r="B1527" s="8" t="s">
        <v>1114</v>
      </c>
      <c r="C1527" s="8" t="s">
        <v>26</v>
      </c>
      <c r="D1527" s="32" t="s">
        <v>43</v>
      </c>
      <c r="E1527" s="8" t="s">
        <v>109</v>
      </c>
      <c r="F1527" s="8" t="s">
        <v>3770</v>
      </c>
      <c r="G1527" s="8" t="n">
        <f aca="false">+5930992091908</f>
        <v>5930992091908</v>
      </c>
      <c r="H1527" s="8" t="s">
        <v>3771</v>
      </c>
      <c r="I1527" s="8"/>
      <c r="J1527" s="1"/>
      <c r="K1527" s="1" t="s">
        <v>3494</v>
      </c>
      <c r="L1527" s="1"/>
      <c r="M1527" s="1"/>
      <c r="N1527" s="1"/>
      <c r="O1527" s="1"/>
      <c r="P1527" s="6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customFormat="false" ht="21.75" hidden="false" customHeight="true" outlineLevel="0" collapsed="false">
      <c r="A1528" s="4" t="n">
        <v>43490</v>
      </c>
      <c r="B1528" s="8" t="s">
        <v>1114</v>
      </c>
      <c r="C1528" s="8" t="s">
        <v>15</v>
      </c>
      <c r="D1528" s="32" t="s">
        <v>43</v>
      </c>
      <c r="E1528" s="8" t="s">
        <v>109</v>
      </c>
      <c r="F1528" s="8" t="s">
        <v>3772</v>
      </c>
      <c r="G1528" s="8" t="n">
        <f aca="false">+593978643121</f>
        <v>593978643121</v>
      </c>
      <c r="H1528" s="8" t="s">
        <v>3773</v>
      </c>
      <c r="I1528" s="8"/>
      <c r="J1528" s="1"/>
      <c r="K1528" s="1" t="s">
        <v>3562</v>
      </c>
      <c r="L1528" s="1"/>
      <c r="M1528" s="1"/>
      <c r="N1528" s="1"/>
      <c r="O1528" s="1"/>
      <c r="P1528" s="6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customFormat="false" ht="21.75" hidden="false" customHeight="true" outlineLevel="0" collapsed="false">
      <c r="A1529" s="4" t="n">
        <v>43490</v>
      </c>
      <c r="B1529" s="8" t="s">
        <v>1114</v>
      </c>
      <c r="C1529" s="8" t="s">
        <v>15</v>
      </c>
      <c r="D1529" s="32" t="s">
        <v>43</v>
      </c>
      <c r="E1529" s="8" t="s">
        <v>109</v>
      </c>
      <c r="F1529" s="8" t="s">
        <v>3774</v>
      </c>
      <c r="G1529" s="8" t="n">
        <v>960700644</v>
      </c>
      <c r="H1529" s="8" t="s">
        <v>3775</v>
      </c>
      <c r="I1529" s="8"/>
      <c r="J1529" s="1"/>
      <c r="K1529" s="1" t="s">
        <v>31</v>
      </c>
      <c r="L1529" s="1"/>
      <c r="M1529" s="1"/>
      <c r="N1529" s="1"/>
      <c r="O1529" s="1"/>
      <c r="P1529" s="6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customFormat="false" ht="21.75" hidden="false" customHeight="true" outlineLevel="0" collapsed="false">
      <c r="A1530" s="4" t="n">
        <v>43490</v>
      </c>
      <c r="B1530" s="32" t="s">
        <v>1114</v>
      </c>
      <c r="C1530" s="8" t="s">
        <v>15</v>
      </c>
      <c r="D1530" s="32" t="s">
        <v>43</v>
      </c>
      <c r="E1530" s="8" t="s">
        <v>109</v>
      </c>
      <c r="F1530" s="8" t="s">
        <v>3776</v>
      </c>
      <c r="G1530" s="8" t="n">
        <v>996802119</v>
      </c>
      <c r="H1530" s="8" t="s">
        <v>3777</v>
      </c>
      <c r="I1530" s="8"/>
      <c r="J1530" s="1"/>
      <c r="K1530" s="1" t="s">
        <v>3494</v>
      </c>
      <c r="L1530" s="1"/>
      <c r="M1530" s="1"/>
      <c r="N1530" s="1"/>
      <c r="O1530" s="1"/>
      <c r="P1530" s="6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customFormat="false" ht="21.75" hidden="false" customHeight="true" outlineLevel="0" collapsed="false">
      <c r="A1531" s="4" t="n">
        <v>43490</v>
      </c>
      <c r="B1531" s="32" t="s">
        <v>1114</v>
      </c>
      <c r="C1531" s="8" t="s">
        <v>15</v>
      </c>
      <c r="D1531" s="32" t="s">
        <v>43</v>
      </c>
      <c r="E1531" s="8" t="s">
        <v>109</v>
      </c>
      <c r="F1531" s="8" t="s">
        <v>3778</v>
      </c>
      <c r="G1531" s="8" t="n">
        <v>999543969</v>
      </c>
      <c r="H1531" s="8" t="s">
        <v>3779</v>
      </c>
      <c r="I1531" s="8"/>
      <c r="J1531" s="1"/>
      <c r="K1531" s="1" t="s">
        <v>3780</v>
      </c>
      <c r="L1531" s="1"/>
      <c r="M1531" s="1"/>
      <c r="N1531" s="1"/>
      <c r="O1531" s="1"/>
      <c r="P1531" s="6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customFormat="false" ht="21.75" hidden="false" customHeight="true" outlineLevel="0" collapsed="false">
      <c r="A1532" s="4" t="n">
        <v>43490</v>
      </c>
      <c r="B1532" s="32" t="s">
        <v>1114</v>
      </c>
      <c r="C1532" s="8" t="s">
        <v>15</v>
      </c>
      <c r="D1532" s="32" t="s">
        <v>43</v>
      </c>
      <c r="E1532" s="8" t="s">
        <v>109</v>
      </c>
      <c r="F1532" s="39" t="s">
        <v>3781</v>
      </c>
      <c r="G1532" s="32" t="n">
        <v>993770105</v>
      </c>
      <c r="H1532" s="32" t="s">
        <v>3782</v>
      </c>
      <c r="I1532" s="32"/>
      <c r="J1532" s="1"/>
      <c r="K1532" s="1" t="s">
        <v>3494</v>
      </c>
      <c r="L1532" s="1"/>
      <c r="M1532" s="1"/>
      <c r="N1532" s="1"/>
      <c r="O1532" s="1"/>
      <c r="P1532" s="6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customFormat="false" ht="21.75" hidden="false" customHeight="true" outlineLevel="0" collapsed="false">
      <c r="A1533" s="4" t="n">
        <v>43490</v>
      </c>
      <c r="B1533" s="32" t="s">
        <v>415</v>
      </c>
      <c r="C1533" s="8" t="s">
        <v>15</v>
      </c>
      <c r="D1533" s="32" t="s">
        <v>43</v>
      </c>
      <c r="E1533" s="8" t="s">
        <v>44</v>
      </c>
      <c r="F1533" s="8" t="s">
        <v>3783</v>
      </c>
      <c r="G1533" s="8" t="n">
        <f aca="false">+5930989331811</f>
        <v>5930989331811</v>
      </c>
      <c r="H1533" s="8" t="s">
        <v>3784</v>
      </c>
      <c r="I1533" s="8"/>
      <c r="J1533" s="1"/>
      <c r="K1533" s="1" t="s">
        <v>3494</v>
      </c>
      <c r="L1533" s="1"/>
      <c r="M1533" s="1"/>
      <c r="N1533" s="1"/>
      <c r="O1533" s="1"/>
      <c r="P1533" s="6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customFormat="false" ht="21.75" hidden="false" customHeight="true" outlineLevel="0" collapsed="false">
      <c r="A1534" s="4" t="n">
        <v>43490</v>
      </c>
      <c r="B1534" s="8" t="s">
        <v>415</v>
      </c>
      <c r="C1534" s="8" t="s">
        <v>15</v>
      </c>
      <c r="D1534" s="32" t="s">
        <v>43</v>
      </c>
      <c r="E1534" s="8" t="s">
        <v>109</v>
      </c>
      <c r="F1534" s="8" t="s">
        <v>3785</v>
      </c>
      <c r="G1534" s="8" t="n">
        <f aca="false">+593961382068</f>
        <v>593961382068</v>
      </c>
      <c r="H1534" s="8" t="s">
        <v>3786</v>
      </c>
      <c r="I1534" s="8"/>
      <c r="J1534" s="1"/>
      <c r="K1534" s="1" t="s">
        <v>3787</v>
      </c>
      <c r="L1534" s="1"/>
      <c r="M1534" s="1"/>
      <c r="N1534" s="1"/>
      <c r="O1534" s="1"/>
      <c r="P1534" s="6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customFormat="false" ht="21.75" hidden="false" customHeight="true" outlineLevel="0" collapsed="false">
      <c r="A1535" s="4" t="n">
        <v>43490</v>
      </c>
      <c r="B1535" s="8" t="s">
        <v>415</v>
      </c>
      <c r="C1535" s="8" t="s">
        <v>15</v>
      </c>
      <c r="D1535" s="32" t="s">
        <v>43</v>
      </c>
      <c r="E1535" s="8" t="s">
        <v>109</v>
      </c>
      <c r="F1535" s="8" t="s">
        <v>3788</v>
      </c>
      <c r="G1535" s="8" t="n">
        <f aca="false">+5930986438587</f>
        <v>5930986438587</v>
      </c>
      <c r="H1535" s="8" t="s">
        <v>3789</v>
      </c>
      <c r="I1535" s="8"/>
      <c r="J1535" s="1"/>
      <c r="K1535" s="1" t="s">
        <v>3494</v>
      </c>
      <c r="L1535" s="1"/>
      <c r="M1535" s="1"/>
      <c r="N1535" s="1"/>
      <c r="O1535" s="1"/>
      <c r="P1535" s="6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customFormat="false" ht="21.75" hidden="false" customHeight="true" outlineLevel="0" collapsed="false">
      <c r="A1536" s="4" t="n">
        <v>43490</v>
      </c>
      <c r="B1536" s="8" t="s">
        <v>352</v>
      </c>
      <c r="C1536" s="8" t="s">
        <v>15</v>
      </c>
      <c r="D1536" s="32" t="s">
        <v>43</v>
      </c>
      <c r="E1536" s="8" t="s">
        <v>883</v>
      </c>
      <c r="F1536" s="8" t="s">
        <v>3790</v>
      </c>
      <c r="G1536" s="8" t="n">
        <f aca="false">+5930959016295</f>
        <v>5930959016295</v>
      </c>
      <c r="H1536" s="8" t="s">
        <v>3791</v>
      </c>
      <c r="I1536" s="8"/>
      <c r="J1536" s="1"/>
      <c r="K1536" s="1" t="s">
        <v>3494</v>
      </c>
      <c r="L1536" s="1"/>
      <c r="M1536" s="1"/>
      <c r="N1536" s="1"/>
      <c r="O1536" s="1"/>
      <c r="P1536" s="6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customFormat="false" ht="21.75" hidden="false" customHeight="true" outlineLevel="0" collapsed="false">
      <c r="A1537" s="4" t="n">
        <v>43490</v>
      </c>
      <c r="B1537" s="8" t="s">
        <v>352</v>
      </c>
      <c r="C1537" s="8" t="s">
        <v>15</v>
      </c>
      <c r="D1537" s="32" t="s">
        <v>43</v>
      </c>
      <c r="E1537" s="8" t="s">
        <v>883</v>
      </c>
      <c r="F1537" s="8" t="s">
        <v>3792</v>
      </c>
      <c r="G1537" s="8" t="n">
        <f aca="false">+5930999083002</f>
        <v>5930999083002</v>
      </c>
      <c r="H1537" s="8" t="s">
        <v>3793</v>
      </c>
      <c r="I1537" s="8"/>
      <c r="J1537" s="1"/>
      <c r="K1537" s="1" t="s">
        <v>3494</v>
      </c>
      <c r="L1537" s="1"/>
      <c r="M1537" s="1"/>
      <c r="N1537" s="1"/>
      <c r="O1537" s="1"/>
      <c r="P1537" s="6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customFormat="false" ht="21.75" hidden="false" customHeight="true" outlineLevel="0" collapsed="false">
      <c r="A1538" s="4" t="n">
        <v>43490</v>
      </c>
      <c r="B1538" s="8" t="s">
        <v>352</v>
      </c>
      <c r="C1538" s="8" t="s">
        <v>15</v>
      </c>
      <c r="D1538" s="32" t="s">
        <v>43</v>
      </c>
      <c r="E1538" s="8" t="s">
        <v>883</v>
      </c>
      <c r="F1538" s="8" t="s">
        <v>3794</v>
      </c>
      <c r="G1538" s="8" t="n">
        <f aca="false">+593980125926</f>
        <v>593980125926</v>
      </c>
      <c r="H1538" s="8" t="s">
        <v>3795</v>
      </c>
      <c r="I1538" s="8"/>
      <c r="J1538" s="1"/>
      <c r="K1538" s="1" t="s">
        <v>3380</v>
      </c>
      <c r="L1538" s="1"/>
      <c r="M1538" s="1"/>
      <c r="N1538" s="1"/>
      <c r="O1538" s="1"/>
      <c r="P1538" s="6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customFormat="false" ht="21.75" hidden="false" customHeight="true" outlineLevel="0" collapsed="false">
      <c r="A1539" s="4" t="n">
        <v>43490</v>
      </c>
      <c r="B1539" s="8" t="s">
        <v>352</v>
      </c>
      <c r="C1539" s="8" t="s">
        <v>15</v>
      </c>
      <c r="D1539" s="32" t="s">
        <v>43</v>
      </c>
      <c r="E1539" s="8" t="s">
        <v>109</v>
      </c>
      <c r="F1539" s="8" t="s">
        <v>3796</v>
      </c>
      <c r="G1539" s="8" t="n">
        <v>981511798</v>
      </c>
      <c r="H1539" s="8" t="s">
        <v>3797</v>
      </c>
      <c r="I1539" s="8"/>
      <c r="J1539" s="1"/>
      <c r="K1539" s="1" t="s">
        <v>3380</v>
      </c>
      <c r="L1539" s="1"/>
      <c r="M1539" s="1"/>
      <c r="N1539" s="1"/>
      <c r="O1539" s="1"/>
      <c r="P1539" s="6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customFormat="false" ht="21.75" hidden="false" customHeight="true" outlineLevel="0" collapsed="false">
      <c r="A1540" s="4" t="n">
        <v>43490</v>
      </c>
      <c r="B1540" s="32" t="s">
        <v>352</v>
      </c>
      <c r="C1540" s="8" t="s">
        <v>15</v>
      </c>
      <c r="D1540" s="32" t="s">
        <v>43</v>
      </c>
      <c r="E1540" s="8" t="s">
        <v>109</v>
      </c>
      <c r="F1540" s="8" t="s">
        <v>3798</v>
      </c>
      <c r="G1540" s="8"/>
      <c r="H1540" s="8" t="s">
        <v>3799</v>
      </c>
      <c r="I1540" s="8"/>
      <c r="J1540" s="1"/>
      <c r="K1540" s="1" t="s">
        <v>3800</v>
      </c>
      <c r="L1540" s="1"/>
      <c r="M1540" s="1"/>
      <c r="N1540" s="1"/>
      <c r="O1540" s="1"/>
      <c r="P1540" s="6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customFormat="false" ht="21.75" hidden="false" customHeight="true" outlineLevel="0" collapsed="false">
      <c r="A1541" s="4" t="n">
        <v>43490</v>
      </c>
      <c r="B1541" s="32" t="s">
        <v>352</v>
      </c>
      <c r="C1541" s="8" t="s">
        <v>15</v>
      </c>
      <c r="D1541" s="32" t="s">
        <v>43</v>
      </c>
      <c r="E1541" s="8" t="s">
        <v>109</v>
      </c>
      <c r="F1541" s="8" t="s">
        <v>3801</v>
      </c>
      <c r="G1541" s="8" t="n">
        <v>998805499</v>
      </c>
      <c r="H1541" s="8"/>
      <c r="I1541" s="8"/>
      <c r="J1541" s="1"/>
      <c r="K1541" s="1" t="s">
        <v>3494</v>
      </c>
      <c r="L1541" s="1"/>
      <c r="M1541" s="1"/>
      <c r="N1541" s="1"/>
      <c r="O1541" s="1"/>
      <c r="P1541" s="6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customFormat="false" ht="21.75" hidden="false" customHeight="true" outlineLevel="0" collapsed="false">
      <c r="A1542" s="4" t="n">
        <v>43490</v>
      </c>
      <c r="B1542" s="8" t="s">
        <v>178</v>
      </c>
      <c r="C1542" s="8" t="s">
        <v>15</v>
      </c>
      <c r="D1542" s="32" t="s">
        <v>43</v>
      </c>
      <c r="E1542" s="8" t="s">
        <v>883</v>
      </c>
      <c r="F1542" s="8" t="s">
        <v>3802</v>
      </c>
      <c r="G1542" s="8" t="n">
        <f aca="false">+593979321163</f>
        <v>593979321163</v>
      </c>
      <c r="H1542" s="8" t="s">
        <v>3803</v>
      </c>
      <c r="I1542" s="8"/>
      <c r="J1542" s="1"/>
      <c r="K1542" s="1" t="s">
        <v>3494</v>
      </c>
      <c r="L1542" s="1"/>
      <c r="M1542" s="1"/>
      <c r="N1542" s="1"/>
      <c r="O1542" s="1"/>
      <c r="P1542" s="6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customFormat="false" ht="21.75" hidden="false" customHeight="true" outlineLevel="0" collapsed="false">
      <c r="A1543" s="4" t="n">
        <v>43490</v>
      </c>
      <c r="B1543" s="32" t="s">
        <v>178</v>
      </c>
      <c r="C1543" s="8" t="s">
        <v>15</v>
      </c>
      <c r="D1543" s="32" t="s">
        <v>43</v>
      </c>
      <c r="E1543" s="8" t="s">
        <v>44</v>
      </c>
      <c r="F1543" s="8" t="s">
        <v>3804</v>
      </c>
      <c r="G1543" s="8" t="n">
        <f aca="false">+593998116905</f>
        <v>593998116905</v>
      </c>
      <c r="H1543" s="8" t="s">
        <v>3805</v>
      </c>
      <c r="I1543" s="8"/>
      <c r="J1543" s="1"/>
      <c r="K1543" s="1" t="s">
        <v>3518</v>
      </c>
      <c r="L1543" s="1"/>
      <c r="M1543" s="1"/>
      <c r="N1543" s="1"/>
      <c r="O1543" s="1"/>
      <c r="P1543" s="6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customFormat="false" ht="21.75" hidden="false" customHeight="true" outlineLevel="0" collapsed="false">
      <c r="A1544" s="4" t="n">
        <v>43490</v>
      </c>
      <c r="B1544" s="32" t="s">
        <v>178</v>
      </c>
      <c r="C1544" s="8" t="s">
        <v>15</v>
      </c>
      <c r="D1544" s="32" t="s">
        <v>43</v>
      </c>
      <c r="E1544" s="8" t="s">
        <v>44</v>
      </c>
      <c r="F1544" s="8" t="s">
        <v>3806</v>
      </c>
      <c r="G1544" s="8" t="n">
        <f aca="false">+593989376427</f>
        <v>593989376427</v>
      </c>
      <c r="H1544" s="8" t="s">
        <v>3807</v>
      </c>
      <c r="I1544" s="8"/>
      <c r="J1544" s="1"/>
      <c r="K1544" s="1" t="s">
        <v>3618</v>
      </c>
      <c r="L1544" s="1"/>
      <c r="M1544" s="1"/>
      <c r="N1544" s="1"/>
      <c r="O1544" s="1"/>
      <c r="P1544" s="6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customFormat="false" ht="21.75" hidden="false" customHeight="true" outlineLevel="0" collapsed="false">
      <c r="A1545" s="4" t="n">
        <v>43490</v>
      </c>
      <c r="B1545" s="32" t="s">
        <v>178</v>
      </c>
      <c r="C1545" s="8" t="s">
        <v>15</v>
      </c>
      <c r="D1545" s="32" t="s">
        <v>43</v>
      </c>
      <c r="E1545" s="8" t="s">
        <v>44</v>
      </c>
      <c r="F1545" s="8" t="s">
        <v>3808</v>
      </c>
      <c r="G1545" s="8" t="n">
        <f aca="false">+5930989095063</f>
        <v>5930989095063</v>
      </c>
      <c r="H1545" s="8" t="s">
        <v>3809</v>
      </c>
      <c r="I1545" s="8"/>
      <c r="J1545" s="1"/>
      <c r="K1545" s="1" t="s">
        <v>3494</v>
      </c>
      <c r="L1545" s="1"/>
      <c r="M1545" s="1"/>
      <c r="N1545" s="1"/>
      <c r="O1545" s="1"/>
      <c r="P1545" s="6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customFormat="false" ht="21.75" hidden="false" customHeight="true" outlineLevel="0" collapsed="false">
      <c r="A1546" s="4" t="n">
        <v>43490</v>
      </c>
      <c r="B1546" s="8" t="s">
        <v>178</v>
      </c>
      <c r="C1546" s="8" t="s">
        <v>15</v>
      </c>
      <c r="D1546" s="32" t="s">
        <v>43</v>
      </c>
      <c r="E1546" s="8" t="s">
        <v>109</v>
      </c>
      <c r="F1546" s="8" t="s">
        <v>3810</v>
      </c>
      <c r="G1546" s="8" t="n">
        <f aca="false">+593960843376</f>
        <v>593960843376</v>
      </c>
      <c r="H1546" s="8" t="s">
        <v>3811</v>
      </c>
      <c r="I1546" s="8"/>
      <c r="J1546" s="1"/>
      <c r="K1546" s="1" t="s">
        <v>3494</v>
      </c>
      <c r="L1546" s="1"/>
      <c r="M1546" s="1"/>
      <c r="N1546" s="1"/>
      <c r="O1546" s="1"/>
      <c r="P1546" s="6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customFormat="false" ht="21.75" hidden="false" customHeight="true" outlineLevel="0" collapsed="false">
      <c r="A1547" s="4" t="n">
        <v>43490</v>
      </c>
      <c r="B1547" s="8" t="s">
        <v>178</v>
      </c>
      <c r="C1547" s="8" t="s">
        <v>26</v>
      </c>
      <c r="D1547" s="32" t="s">
        <v>43</v>
      </c>
      <c r="E1547" s="8" t="s">
        <v>109</v>
      </c>
      <c r="F1547" s="8" t="s">
        <v>3812</v>
      </c>
      <c r="G1547" s="8" t="n">
        <f aca="false">+593979438233</f>
        <v>593979438233</v>
      </c>
      <c r="H1547" s="8" t="s">
        <v>3813</v>
      </c>
      <c r="I1547" s="8"/>
      <c r="J1547" s="1"/>
      <c r="K1547" s="1" t="s">
        <v>3814</v>
      </c>
      <c r="L1547" s="1"/>
      <c r="M1547" s="1"/>
      <c r="N1547" s="1"/>
      <c r="O1547" s="1"/>
      <c r="P1547" s="6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customFormat="false" ht="21.75" hidden="false" customHeight="true" outlineLevel="0" collapsed="false">
      <c r="A1548" s="4" t="n">
        <v>43490</v>
      </c>
      <c r="B1548" s="8" t="s">
        <v>178</v>
      </c>
      <c r="C1548" s="8" t="s">
        <v>15</v>
      </c>
      <c r="D1548" s="32" t="s">
        <v>43</v>
      </c>
      <c r="E1548" s="8" t="s">
        <v>109</v>
      </c>
      <c r="F1548" s="8" t="s">
        <v>3815</v>
      </c>
      <c r="G1548" s="8" t="n">
        <f aca="false">+593993084144</f>
        <v>593993084144</v>
      </c>
      <c r="H1548" s="8" t="s">
        <v>3816</v>
      </c>
      <c r="I1548" s="8"/>
      <c r="J1548" s="1"/>
      <c r="K1548" s="1" t="s">
        <v>3494</v>
      </c>
      <c r="L1548" s="1"/>
      <c r="M1548" s="1"/>
      <c r="N1548" s="1"/>
      <c r="O1548" s="1"/>
      <c r="P1548" s="6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customFormat="false" ht="21.75" hidden="false" customHeight="true" outlineLevel="0" collapsed="false">
      <c r="A1549" s="4" t="n">
        <v>43490</v>
      </c>
      <c r="B1549" s="32" t="s">
        <v>81</v>
      </c>
      <c r="C1549" s="8" t="s">
        <v>15</v>
      </c>
      <c r="D1549" s="32" t="s">
        <v>43</v>
      </c>
      <c r="E1549" s="8" t="s">
        <v>44</v>
      </c>
      <c r="F1549" s="8" t="s">
        <v>3817</v>
      </c>
      <c r="G1549" s="8" t="n">
        <f aca="false">+593994733675</f>
        <v>593994733675</v>
      </c>
      <c r="H1549" s="8" t="s">
        <v>3818</v>
      </c>
      <c r="I1549" s="8"/>
      <c r="J1549" s="1"/>
      <c r="K1549" s="1" t="s">
        <v>3443</v>
      </c>
      <c r="L1549" s="1"/>
      <c r="M1549" s="1"/>
      <c r="N1549" s="1"/>
      <c r="O1549" s="1"/>
      <c r="P1549" s="6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customFormat="false" ht="21.75" hidden="false" customHeight="true" outlineLevel="0" collapsed="false">
      <c r="A1550" s="4" t="n">
        <v>43490</v>
      </c>
      <c r="B1550" s="32" t="s">
        <v>81</v>
      </c>
      <c r="C1550" s="8" t="s">
        <v>26</v>
      </c>
      <c r="D1550" s="32" t="s">
        <v>43</v>
      </c>
      <c r="E1550" s="8" t="s">
        <v>44</v>
      </c>
      <c r="F1550" s="8" t="s">
        <v>3819</v>
      </c>
      <c r="G1550" s="8" t="n">
        <f aca="false">+593984115320</f>
        <v>593984115320</v>
      </c>
      <c r="H1550" s="8" t="s">
        <v>3820</v>
      </c>
      <c r="I1550" s="8"/>
      <c r="J1550" s="1"/>
      <c r="K1550" s="1" t="s">
        <v>3494</v>
      </c>
      <c r="L1550" s="1"/>
      <c r="M1550" s="1"/>
      <c r="N1550" s="1"/>
      <c r="O1550" s="1"/>
      <c r="P1550" s="6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customFormat="false" ht="21.75" hidden="false" customHeight="true" outlineLevel="0" collapsed="false">
      <c r="A1551" s="4" t="n">
        <v>43490</v>
      </c>
      <c r="B1551" s="8" t="s">
        <v>81</v>
      </c>
      <c r="C1551" s="8" t="s">
        <v>15</v>
      </c>
      <c r="D1551" s="32" t="s">
        <v>43</v>
      </c>
      <c r="E1551" s="8" t="s">
        <v>109</v>
      </c>
      <c r="F1551" s="8" t="s">
        <v>3821</v>
      </c>
      <c r="G1551" s="8" t="n">
        <f aca="false">+593939122800</f>
        <v>593939122800</v>
      </c>
      <c r="H1551" s="8" t="s">
        <v>3822</v>
      </c>
      <c r="I1551" s="8"/>
      <c r="J1551" s="1"/>
      <c r="K1551" s="1" t="s">
        <v>3494</v>
      </c>
      <c r="L1551" s="1"/>
      <c r="M1551" s="1"/>
      <c r="N1551" s="1"/>
      <c r="O1551" s="1"/>
      <c r="P1551" s="6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customFormat="false" ht="21.75" hidden="false" customHeight="true" outlineLevel="0" collapsed="false">
      <c r="A1552" s="4" t="n">
        <v>43490</v>
      </c>
      <c r="B1552" s="8" t="s">
        <v>81</v>
      </c>
      <c r="C1552" s="8" t="s">
        <v>15</v>
      </c>
      <c r="D1552" s="32" t="s">
        <v>43</v>
      </c>
      <c r="E1552" s="8" t="s">
        <v>109</v>
      </c>
      <c r="F1552" s="8" t="s">
        <v>3823</v>
      </c>
      <c r="G1552" s="8" t="n">
        <f aca="false">+593983776234</f>
        <v>593983776234</v>
      </c>
      <c r="H1552" s="8" t="s">
        <v>3824</v>
      </c>
      <c r="I1552" s="8"/>
      <c r="J1552" s="1"/>
      <c r="K1552" s="1" t="s">
        <v>3404</v>
      </c>
      <c r="L1552" s="1"/>
      <c r="M1552" s="1"/>
      <c r="N1552" s="1"/>
      <c r="O1552" s="1"/>
      <c r="P1552" s="6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customFormat="false" ht="21.75" hidden="false" customHeight="true" outlineLevel="0" collapsed="false">
      <c r="A1553" s="4" t="n">
        <v>43490</v>
      </c>
      <c r="B1553" s="8" t="s">
        <v>81</v>
      </c>
      <c r="C1553" s="8" t="s">
        <v>15</v>
      </c>
      <c r="D1553" s="32" t="s">
        <v>43</v>
      </c>
      <c r="E1553" s="8" t="s">
        <v>109</v>
      </c>
      <c r="F1553" s="8" t="s">
        <v>3825</v>
      </c>
      <c r="G1553" s="8" t="n">
        <f aca="false">+5930995294738</f>
        <v>5930995294738</v>
      </c>
      <c r="H1553" s="8" t="s">
        <v>3826</v>
      </c>
      <c r="I1553" s="8"/>
      <c r="J1553" s="1"/>
      <c r="K1553" s="1" t="s">
        <v>3494</v>
      </c>
      <c r="L1553" s="1"/>
      <c r="M1553" s="1"/>
      <c r="N1553" s="1"/>
      <c r="O1553" s="1"/>
      <c r="P1553" s="6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customFormat="false" ht="21.75" hidden="false" customHeight="true" outlineLevel="0" collapsed="false">
      <c r="A1554" s="4" t="n">
        <v>43490</v>
      </c>
      <c r="B1554" s="8" t="s">
        <v>81</v>
      </c>
      <c r="C1554" s="8" t="s">
        <v>15</v>
      </c>
      <c r="D1554" s="32" t="s">
        <v>43</v>
      </c>
      <c r="E1554" s="8" t="s">
        <v>109</v>
      </c>
      <c r="F1554" s="8" t="s">
        <v>3827</v>
      </c>
      <c r="G1554" s="8" t="n">
        <f aca="false">+5930967939124</f>
        <v>5930967939124</v>
      </c>
      <c r="H1554" s="8" t="s">
        <v>3828</v>
      </c>
      <c r="I1554" s="8"/>
      <c r="J1554" s="1"/>
      <c r="K1554" s="1" t="s">
        <v>3494</v>
      </c>
      <c r="L1554" s="1"/>
      <c r="M1554" s="1"/>
      <c r="N1554" s="1"/>
      <c r="O1554" s="1"/>
      <c r="P1554" s="6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customFormat="false" ht="21.75" hidden="false" customHeight="true" outlineLevel="0" collapsed="false">
      <c r="A1555" s="4" t="n">
        <v>43490</v>
      </c>
      <c r="B1555" s="8" t="s">
        <v>81</v>
      </c>
      <c r="C1555" s="8" t="s">
        <v>26</v>
      </c>
      <c r="D1555" s="32" t="s">
        <v>43</v>
      </c>
      <c r="E1555" s="8" t="s">
        <v>109</v>
      </c>
      <c r="F1555" s="8" t="s">
        <v>3829</v>
      </c>
      <c r="G1555" s="8" t="n">
        <f aca="false">+593967891572</f>
        <v>593967891572</v>
      </c>
      <c r="H1555" s="8" t="s">
        <v>3830</v>
      </c>
      <c r="I1555" s="8"/>
      <c r="J1555" s="1"/>
      <c r="K1555" s="1" t="s">
        <v>3831</v>
      </c>
      <c r="L1555" s="1"/>
      <c r="M1555" s="1"/>
      <c r="N1555" s="1"/>
      <c r="O1555" s="1"/>
      <c r="P1555" s="6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customFormat="false" ht="21.75" hidden="false" customHeight="true" outlineLevel="0" collapsed="false">
      <c r="A1556" s="4" t="n">
        <v>43490</v>
      </c>
      <c r="B1556" s="32" t="s">
        <v>81</v>
      </c>
      <c r="C1556" s="8" t="s">
        <v>15</v>
      </c>
      <c r="D1556" s="32" t="s">
        <v>43</v>
      </c>
      <c r="E1556" s="8" t="s">
        <v>109</v>
      </c>
      <c r="F1556" s="8" t="s">
        <v>3817</v>
      </c>
      <c r="G1556" s="8" t="n">
        <v>994733675</v>
      </c>
      <c r="H1556" s="8" t="s">
        <v>3818</v>
      </c>
      <c r="I1556" s="8"/>
      <c r="J1556" s="1"/>
      <c r="K1556" s="1" t="s">
        <v>3494</v>
      </c>
      <c r="L1556" s="1"/>
      <c r="M1556" s="1"/>
      <c r="N1556" s="1"/>
      <c r="O1556" s="1"/>
      <c r="P1556" s="6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customFormat="false" ht="21.75" hidden="false" customHeight="true" outlineLevel="0" collapsed="false">
      <c r="A1557" s="4" t="n">
        <v>43490</v>
      </c>
      <c r="B1557" s="32" t="s">
        <v>911</v>
      </c>
      <c r="C1557" s="8" t="s">
        <v>15</v>
      </c>
      <c r="D1557" s="32" t="s">
        <v>16</v>
      </c>
      <c r="E1557" s="8" t="s">
        <v>17</v>
      </c>
      <c r="F1557" s="8" t="s">
        <v>3832</v>
      </c>
      <c r="G1557" s="8"/>
      <c r="H1557" s="8" t="s">
        <v>3833</v>
      </c>
      <c r="I1557" s="8"/>
      <c r="J1557" s="1"/>
      <c r="K1557" s="1" t="s">
        <v>3834</v>
      </c>
      <c r="L1557" s="1"/>
      <c r="M1557" s="1"/>
      <c r="N1557" s="1"/>
      <c r="O1557" s="1"/>
      <c r="P1557" s="6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customFormat="false" ht="21.75" hidden="false" customHeight="true" outlineLevel="0" collapsed="false">
      <c r="A1558" s="4" t="n">
        <v>43490</v>
      </c>
      <c r="B1558" s="32" t="s">
        <v>86</v>
      </c>
      <c r="C1558" s="8" t="s">
        <v>15</v>
      </c>
      <c r="D1558" s="32" t="s">
        <v>16</v>
      </c>
      <c r="E1558" s="8" t="s">
        <v>17</v>
      </c>
      <c r="F1558" s="8" t="s">
        <v>3835</v>
      </c>
      <c r="G1558" s="8" t="n">
        <f aca="false">+593979965852</f>
        <v>593979965852</v>
      </c>
      <c r="H1558" s="8" t="s">
        <v>3836</v>
      </c>
      <c r="I1558" s="8"/>
      <c r="J1558" s="1"/>
      <c r="K1558" s="1" t="s">
        <v>3494</v>
      </c>
      <c r="L1558" s="1"/>
      <c r="M1558" s="1"/>
      <c r="N1558" s="1"/>
      <c r="O1558" s="1"/>
      <c r="P1558" s="6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customFormat="false" ht="21.75" hidden="false" customHeight="true" outlineLevel="0" collapsed="false">
      <c r="A1559" s="4" t="n">
        <v>43490</v>
      </c>
      <c r="B1559" s="32" t="s">
        <v>86</v>
      </c>
      <c r="C1559" s="8" t="s">
        <v>15</v>
      </c>
      <c r="D1559" s="32" t="s">
        <v>16</v>
      </c>
      <c r="E1559" s="8" t="s">
        <v>17</v>
      </c>
      <c r="F1559" s="8" t="s">
        <v>3837</v>
      </c>
      <c r="G1559" s="8" t="n">
        <f aca="false">+593987534169</f>
        <v>593987534169</v>
      </c>
      <c r="H1559" s="8" t="s">
        <v>3838</v>
      </c>
      <c r="I1559" s="8"/>
      <c r="J1559" s="1"/>
      <c r="K1559" s="1" t="s">
        <v>3494</v>
      </c>
      <c r="L1559" s="1"/>
      <c r="M1559" s="1"/>
      <c r="N1559" s="1"/>
      <c r="O1559" s="1"/>
      <c r="P1559" s="6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customFormat="false" ht="21.75" hidden="false" customHeight="true" outlineLevel="0" collapsed="false">
      <c r="A1560" s="4" t="n">
        <v>43490</v>
      </c>
      <c r="B1560" s="32" t="s">
        <v>86</v>
      </c>
      <c r="C1560" s="8" t="s">
        <v>15</v>
      </c>
      <c r="D1560" s="32" t="s">
        <v>16</v>
      </c>
      <c r="E1560" s="8" t="s">
        <v>17</v>
      </c>
      <c r="F1560" s="8" t="s">
        <v>3839</v>
      </c>
      <c r="G1560" s="8" t="n">
        <f aca="false">+593988830119</f>
        <v>593988830119</v>
      </c>
      <c r="H1560" s="8" t="s">
        <v>3840</v>
      </c>
      <c r="I1560" s="8"/>
      <c r="J1560" s="1"/>
      <c r="K1560" s="1" t="s">
        <v>58</v>
      </c>
      <c r="L1560" s="1"/>
      <c r="M1560" s="1"/>
      <c r="N1560" s="1"/>
      <c r="O1560" s="1"/>
      <c r="P1560" s="6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customFormat="false" ht="21.75" hidden="false" customHeight="true" outlineLevel="0" collapsed="false">
      <c r="A1561" s="4" t="n">
        <v>43490</v>
      </c>
      <c r="B1561" s="32" t="s">
        <v>86</v>
      </c>
      <c r="C1561" s="8" t="s">
        <v>15</v>
      </c>
      <c r="D1561" s="32" t="s">
        <v>16</v>
      </c>
      <c r="E1561" s="8" t="s">
        <v>17</v>
      </c>
      <c r="F1561" s="8" t="s">
        <v>3841</v>
      </c>
      <c r="G1561" s="8" t="n">
        <v>984516711</v>
      </c>
      <c r="H1561" s="8" t="s">
        <v>3842</v>
      </c>
      <c r="I1561" s="8"/>
      <c r="J1561" s="1"/>
      <c r="K1561" s="1" t="s">
        <v>3843</v>
      </c>
      <c r="L1561" s="1"/>
      <c r="M1561" s="1"/>
      <c r="N1561" s="1"/>
      <c r="O1561" s="1"/>
      <c r="P1561" s="6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customFormat="false" ht="21.75" hidden="false" customHeight="true" outlineLevel="0" collapsed="false">
      <c r="A1562" s="4" t="n">
        <v>43491</v>
      </c>
      <c r="B1562" s="8" t="s">
        <v>14</v>
      </c>
      <c r="C1562" s="8" t="s">
        <v>15</v>
      </c>
      <c r="D1562" s="8" t="s">
        <v>43</v>
      </c>
      <c r="E1562" s="8" t="s">
        <v>17</v>
      </c>
      <c r="F1562" s="8" t="s">
        <v>3844</v>
      </c>
      <c r="G1562" s="8" t="n">
        <f aca="false">+593990929344</f>
        <v>593990929344</v>
      </c>
      <c r="H1562" s="8" t="s">
        <v>3845</v>
      </c>
      <c r="I1562" s="8"/>
      <c r="J1562" s="1"/>
      <c r="K1562" s="1" t="s">
        <v>21</v>
      </c>
      <c r="L1562" s="1"/>
      <c r="M1562" s="1"/>
      <c r="N1562" s="1"/>
      <c r="O1562" s="1"/>
      <c r="P1562" s="6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customFormat="false" ht="21.75" hidden="false" customHeight="true" outlineLevel="0" collapsed="false">
      <c r="A1563" s="4" t="n">
        <v>43491</v>
      </c>
      <c r="B1563" s="8" t="s">
        <v>14</v>
      </c>
      <c r="C1563" s="8" t="s">
        <v>15</v>
      </c>
      <c r="D1563" s="8" t="s">
        <v>16</v>
      </c>
      <c r="E1563" s="8" t="s">
        <v>17</v>
      </c>
      <c r="F1563" s="8" t="s">
        <v>3846</v>
      </c>
      <c r="G1563" s="8" t="n">
        <f aca="false">+593967741812</f>
        <v>593967741812</v>
      </c>
      <c r="H1563" s="8" t="s">
        <v>3847</v>
      </c>
      <c r="I1563" s="8"/>
      <c r="J1563" s="1"/>
      <c r="K1563" s="1" t="s">
        <v>21</v>
      </c>
      <c r="L1563" s="1"/>
      <c r="M1563" s="1"/>
      <c r="N1563" s="1"/>
      <c r="O1563" s="1"/>
      <c r="P1563" s="6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customFormat="false" ht="21.75" hidden="false" customHeight="true" outlineLevel="0" collapsed="false">
      <c r="A1564" s="4" t="n">
        <v>43491</v>
      </c>
      <c r="B1564" s="8" t="s">
        <v>14</v>
      </c>
      <c r="C1564" s="8" t="s">
        <v>15</v>
      </c>
      <c r="D1564" s="8" t="s">
        <v>16</v>
      </c>
      <c r="E1564" s="8" t="s">
        <v>17</v>
      </c>
      <c r="F1564" s="8" t="s">
        <v>3770</v>
      </c>
      <c r="G1564" s="8" t="n">
        <f aca="false">+5930992091908</f>
        <v>5930992091908</v>
      </c>
      <c r="H1564" s="8" t="s">
        <v>3848</v>
      </c>
      <c r="I1564" s="8"/>
      <c r="J1564" s="1"/>
      <c r="K1564" s="1" t="s">
        <v>21</v>
      </c>
      <c r="L1564" s="1"/>
      <c r="M1564" s="1"/>
      <c r="N1564" s="1"/>
      <c r="O1564" s="1"/>
      <c r="P1564" s="6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customFormat="false" ht="21.75" hidden="false" customHeight="true" outlineLevel="0" collapsed="false">
      <c r="A1565" s="4" t="n">
        <v>43491</v>
      </c>
      <c r="B1565" s="8" t="s">
        <v>14</v>
      </c>
      <c r="C1565" s="8" t="s">
        <v>15</v>
      </c>
      <c r="D1565" s="8" t="s">
        <v>16</v>
      </c>
      <c r="E1565" s="8" t="s">
        <v>17</v>
      </c>
      <c r="F1565" s="8" t="s">
        <v>3849</v>
      </c>
      <c r="G1565" s="8" t="n">
        <f aca="false">+593986559632</f>
        <v>593986559632</v>
      </c>
      <c r="H1565" s="8" t="s">
        <v>3850</v>
      </c>
      <c r="I1565" s="8"/>
      <c r="J1565" s="1"/>
      <c r="K1565" s="1" t="s">
        <v>21</v>
      </c>
      <c r="L1565" s="1"/>
      <c r="M1565" s="1"/>
      <c r="N1565" s="1"/>
      <c r="O1565" s="1"/>
      <c r="P1565" s="6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customFormat="false" ht="21.75" hidden="false" customHeight="true" outlineLevel="0" collapsed="false">
      <c r="A1566" s="4" t="n">
        <v>43491</v>
      </c>
      <c r="B1566" s="8" t="s">
        <v>14</v>
      </c>
      <c r="C1566" s="8" t="s">
        <v>15</v>
      </c>
      <c r="D1566" s="8" t="s">
        <v>16</v>
      </c>
      <c r="E1566" s="8" t="s">
        <v>17</v>
      </c>
      <c r="F1566" s="8" t="s">
        <v>3851</v>
      </c>
      <c r="G1566" s="8" t="n">
        <f aca="false">+593985941285</f>
        <v>593985941285</v>
      </c>
      <c r="H1566" s="8" t="s">
        <v>3852</v>
      </c>
      <c r="I1566" s="8"/>
      <c r="J1566" s="1"/>
      <c r="K1566" s="1" t="s">
        <v>21</v>
      </c>
      <c r="L1566" s="1"/>
      <c r="M1566" s="1"/>
      <c r="N1566" s="1"/>
      <c r="O1566" s="1"/>
      <c r="P1566" s="6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customFormat="false" ht="21.75" hidden="false" customHeight="true" outlineLevel="0" collapsed="false">
      <c r="A1567" s="4" t="n">
        <v>43491</v>
      </c>
      <c r="B1567" s="8" t="s">
        <v>14</v>
      </c>
      <c r="C1567" s="8" t="s">
        <v>15</v>
      </c>
      <c r="D1567" s="8" t="s">
        <v>16</v>
      </c>
      <c r="E1567" s="8" t="s">
        <v>17</v>
      </c>
      <c r="F1567" s="8" t="s">
        <v>3853</v>
      </c>
      <c r="G1567" s="8" t="n">
        <f aca="false">+593981160511</f>
        <v>593981160511</v>
      </c>
      <c r="H1567" s="8" t="s">
        <v>3854</v>
      </c>
      <c r="I1567" s="8"/>
      <c r="J1567" s="1"/>
      <c r="K1567" s="1" t="s">
        <v>21</v>
      </c>
      <c r="L1567" s="1"/>
      <c r="M1567" s="1"/>
      <c r="N1567" s="1"/>
      <c r="O1567" s="1"/>
      <c r="P1567" s="6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customFormat="false" ht="21.75" hidden="false" customHeight="true" outlineLevel="0" collapsed="false">
      <c r="A1568" s="4" t="n">
        <v>43491</v>
      </c>
      <c r="B1568" s="8" t="s">
        <v>14</v>
      </c>
      <c r="C1568" s="8" t="s">
        <v>15</v>
      </c>
      <c r="D1568" s="8" t="s">
        <v>16</v>
      </c>
      <c r="E1568" s="8" t="s">
        <v>17</v>
      </c>
      <c r="F1568" s="8" t="s">
        <v>3855</v>
      </c>
      <c r="G1568" s="8" t="n">
        <f aca="false">+593989232960</f>
        <v>593989232960</v>
      </c>
      <c r="H1568" s="8" t="s">
        <v>3856</v>
      </c>
      <c r="I1568" s="8"/>
      <c r="J1568" s="1"/>
      <c r="K1568" s="1" t="s">
        <v>21</v>
      </c>
      <c r="L1568" s="1"/>
      <c r="M1568" s="1"/>
      <c r="N1568" s="1"/>
      <c r="O1568" s="1"/>
      <c r="P1568" s="6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customFormat="false" ht="21.75" hidden="false" customHeight="true" outlineLevel="0" collapsed="false">
      <c r="A1569" s="4" t="n">
        <v>43491</v>
      </c>
      <c r="B1569" s="8" t="s">
        <v>42</v>
      </c>
      <c r="C1569" s="8" t="s">
        <v>15</v>
      </c>
      <c r="D1569" s="8" t="s">
        <v>43</v>
      </c>
      <c r="E1569" s="8" t="s">
        <v>44</v>
      </c>
      <c r="F1569" s="8" t="s">
        <v>3857</v>
      </c>
      <c r="G1569" s="8" t="n">
        <f aca="false">+593990987946</f>
        <v>593990987946</v>
      </c>
      <c r="H1569" s="8" t="s">
        <v>3858</v>
      </c>
      <c r="I1569" s="8"/>
      <c r="J1569" s="1"/>
      <c r="K1569" s="1" t="s">
        <v>21</v>
      </c>
      <c r="L1569" s="1"/>
      <c r="M1569" s="1"/>
      <c r="N1569" s="1"/>
      <c r="O1569" s="1"/>
      <c r="P1569" s="6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customFormat="false" ht="21.75" hidden="false" customHeight="true" outlineLevel="0" collapsed="false">
      <c r="A1570" s="4" t="n">
        <v>43491</v>
      </c>
      <c r="B1570" s="8" t="s">
        <v>166</v>
      </c>
      <c r="C1570" s="8" t="s">
        <v>15</v>
      </c>
      <c r="D1570" s="8" t="s">
        <v>16</v>
      </c>
      <c r="E1570" s="8" t="s">
        <v>17</v>
      </c>
      <c r="F1570" s="8" t="s">
        <v>3859</v>
      </c>
      <c r="G1570" s="8" t="n">
        <f aca="false">+5930987786149</f>
        <v>5930987786149</v>
      </c>
      <c r="H1570" s="8" t="s">
        <v>3860</v>
      </c>
      <c r="I1570" s="8"/>
      <c r="J1570" s="1"/>
      <c r="K1570" s="1" t="s">
        <v>228</v>
      </c>
      <c r="L1570" s="1"/>
      <c r="M1570" s="1"/>
      <c r="N1570" s="1"/>
      <c r="O1570" s="1"/>
      <c r="P1570" s="6" t="s">
        <v>3126</v>
      </c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customFormat="false" ht="21.75" hidden="false" customHeight="true" outlineLevel="0" collapsed="false">
      <c r="A1571" s="4" t="n">
        <v>43491</v>
      </c>
      <c r="B1571" s="8" t="s">
        <v>323</v>
      </c>
      <c r="C1571" s="8" t="s">
        <v>15</v>
      </c>
      <c r="D1571" s="8" t="s">
        <v>43</v>
      </c>
      <c r="E1571" s="8" t="s">
        <v>109</v>
      </c>
      <c r="F1571" s="8" t="s">
        <v>3861</v>
      </c>
      <c r="G1571" s="8" t="n">
        <f aca="false">+593960590317</f>
        <v>593960590317</v>
      </c>
      <c r="H1571" s="8" t="s">
        <v>3862</v>
      </c>
      <c r="I1571" s="8"/>
      <c r="J1571" s="1"/>
      <c r="K1571" s="1" t="s">
        <v>3863</v>
      </c>
      <c r="L1571" s="1"/>
      <c r="M1571" s="1"/>
      <c r="N1571" s="1"/>
      <c r="O1571" s="1"/>
      <c r="P1571" s="6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customFormat="false" ht="21.75" hidden="false" customHeight="true" outlineLevel="0" collapsed="false">
      <c r="A1572" s="4" t="n">
        <v>43491</v>
      </c>
      <c r="B1572" s="8" t="s">
        <v>323</v>
      </c>
      <c r="C1572" s="8" t="s">
        <v>15</v>
      </c>
      <c r="D1572" s="8" t="s">
        <v>43</v>
      </c>
      <c r="E1572" s="8" t="s">
        <v>109</v>
      </c>
      <c r="F1572" s="8" t="s">
        <v>3864</v>
      </c>
      <c r="G1572" s="8" t="n">
        <f aca="false">+593969606919</f>
        <v>593969606919</v>
      </c>
      <c r="H1572" s="8" t="s">
        <v>3865</v>
      </c>
      <c r="I1572" s="8"/>
      <c r="J1572" s="1"/>
      <c r="K1572" s="1" t="s">
        <v>21</v>
      </c>
      <c r="L1572" s="1"/>
      <c r="M1572" s="1"/>
      <c r="N1572" s="1"/>
      <c r="O1572" s="1"/>
      <c r="P1572" s="6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customFormat="false" ht="21.75" hidden="false" customHeight="true" outlineLevel="0" collapsed="false">
      <c r="A1573" s="4" t="n">
        <v>43491</v>
      </c>
      <c r="B1573" s="8" t="s">
        <v>1106</v>
      </c>
      <c r="C1573" s="8" t="s">
        <v>26</v>
      </c>
      <c r="D1573" s="8" t="s">
        <v>43</v>
      </c>
      <c r="E1573" s="8" t="s">
        <v>109</v>
      </c>
      <c r="F1573" s="8" t="s">
        <v>3866</v>
      </c>
      <c r="G1573" s="8" t="n">
        <f aca="false">+593991214636</f>
        <v>593991214636</v>
      </c>
      <c r="H1573" s="8" t="s">
        <v>3867</v>
      </c>
      <c r="I1573" s="8"/>
      <c r="J1573" s="1"/>
      <c r="K1573" s="1" t="s">
        <v>21</v>
      </c>
      <c r="L1573" s="1"/>
      <c r="M1573" s="1"/>
      <c r="N1573" s="1"/>
      <c r="O1573" s="1"/>
      <c r="P1573" s="6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customFormat="false" ht="21.75" hidden="false" customHeight="true" outlineLevel="0" collapsed="false">
      <c r="A1574" s="4" t="n">
        <v>43491</v>
      </c>
      <c r="B1574" s="8" t="s">
        <v>1106</v>
      </c>
      <c r="C1574" s="8" t="s">
        <v>26</v>
      </c>
      <c r="D1574" s="8" t="s">
        <v>43</v>
      </c>
      <c r="E1574" s="8" t="s">
        <v>109</v>
      </c>
      <c r="F1574" s="8" t="s">
        <v>3868</v>
      </c>
      <c r="G1574" s="8" t="n">
        <f aca="false">+5930980151670</f>
        <v>5930980151670</v>
      </c>
      <c r="H1574" s="8" t="s">
        <v>3869</v>
      </c>
      <c r="I1574" s="8"/>
      <c r="J1574" s="1"/>
      <c r="K1574" s="1" t="s">
        <v>21</v>
      </c>
      <c r="L1574" s="1"/>
      <c r="M1574" s="1"/>
      <c r="N1574" s="1"/>
      <c r="O1574" s="1"/>
      <c r="P1574" s="6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customFormat="false" ht="21.75" hidden="false" customHeight="true" outlineLevel="0" collapsed="false">
      <c r="A1575" s="4" t="n">
        <v>43491</v>
      </c>
      <c r="B1575" s="8" t="s">
        <v>1106</v>
      </c>
      <c r="C1575" s="8" t="s">
        <v>15</v>
      </c>
      <c r="D1575" s="8" t="s">
        <v>43</v>
      </c>
      <c r="E1575" s="8" t="s">
        <v>109</v>
      </c>
      <c r="F1575" s="8" t="s">
        <v>3870</v>
      </c>
      <c r="G1575" s="8" t="n">
        <f aca="false">+593996805263</f>
        <v>593996805263</v>
      </c>
      <c r="H1575" s="8" t="s">
        <v>3871</v>
      </c>
      <c r="I1575" s="8"/>
      <c r="J1575" s="1"/>
      <c r="K1575" s="1" t="s">
        <v>21</v>
      </c>
      <c r="L1575" s="1"/>
      <c r="M1575" s="1"/>
      <c r="N1575" s="1"/>
      <c r="O1575" s="1"/>
      <c r="P1575" s="6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customFormat="false" ht="21.75" hidden="false" customHeight="true" outlineLevel="0" collapsed="false">
      <c r="A1576" s="4" t="n">
        <v>43491</v>
      </c>
      <c r="B1576" s="8" t="s">
        <v>1478</v>
      </c>
      <c r="C1576" s="8" t="s">
        <v>15</v>
      </c>
      <c r="D1576" s="8" t="s">
        <v>43</v>
      </c>
      <c r="E1576" s="8" t="s">
        <v>109</v>
      </c>
      <c r="F1576" s="8" t="s">
        <v>3872</v>
      </c>
      <c r="G1576" s="8" t="n">
        <f aca="false">+593981252191</f>
        <v>593981252191</v>
      </c>
      <c r="H1576" s="8" t="s">
        <v>3873</v>
      </c>
      <c r="I1576" s="8"/>
      <c r="J1576" s="1"/>
      <c r="K1576" s="1" t="s">
        <v>21</v>
      </c>
      <c r="L1576" s="1"/>
      <c r="M1576" s="1"/>
      <c r="N1576" s="1"/>
      <c r="O1576" s="1"/>
      <c r="P1576" s="6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customFormat="false" ht="21.75" hidden="false" customHeight="true" outlineLevel="0" collapsed="false">
      <c r="A1577" s="4" t="n">
        <v>43491</v>
      </c>
      <c r="B1577" s="8" t="s">
        <v>1478</v>
      </c>
      <c r="C1577" s="8" t="s">
        <v>15</v>
      </c>
      <c r="D1577" s="8" t="s">
        <v>43</v>
      </c>
      <c r="E1577" s="8" t="s">
        <v>109</v>
      </c>
      <c r="F1577" s="8" t="s">
        <v>3874</v>
      </c>
      <c r="G1577" s="8" t="n">
        <f aca="false">+593997537077</f>
        <v>593997537077</v>
      </c>
      <c r="H1577" s="8" t="s">
        <v>3875</v>
      </c>
      <c r="I1577" s="8"/>
      <c r="J1577" s="1"/>
      <c r="K1577" s="1" t="s">
        <v>21</v>
      </c>
      <c r="L1577" s="1"/>
      <c r="M1577" s="1"/>
      <c r="N1577" s="1"/>
      <c r="O1577" s="1"/>
      <c r="P1577" s="6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customFormat="false" ht="21.75" hidden="false" customHeight="true" outlineLevel="0" collapsed="false">
      <c r="A1578" s="4" t="n">
        <v>43491</v>
      </c>
      <c r="B1578" s="8" t="s">
        <v>1478</v>
      </c>
      <c r="C1578" s="8" t="s">
        <v>15</v>
      </c>
      <c r="D1578" s="8" t="s">
        <v>43</v>
      </c>
      <c r="E1578" s="8" t="s">
        <v>109</v>
      </c>
      <c r="F1578" s="8" t="s">
        <v>3876</v>
      </c>
      <c r="G1578" s="8" t="n">
        <f aca="false">+593994423771</f>
        <v>593994423771</v>
      </c>
      <c r="H1578" s="8" t="s">
        <v>3877</v>
      </c>
      <c r="I1578" s="8"/>
      <c r="J1578" s="1"/>
      <c r="K1578" s="1" t="s">
        <v>228</v>
      </c>
      <c r="L1578" s="1"/>
      <c r="M1578" s="1"/>
      <c r="N1578" s="1"/>
      <c r="O1578" s="1"/>
      <c r="P1578" s="6" t="s">
        <v>3126</v>
      </c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customFormat="false" ht="21.75" hidden="false" customHeight="true" outlineLevel="0" collapsed="false">
      <c r="A1579" s="4" t="n">
        <v>43491</v>
      </c>
      <c r="B1579" s="8" t="s">
        <v>48</v>
      </c>
      <c r="C1579" s="8" t="s">
        <v>15</v>
      </c>
      <c r="D1579" s="8" t="s">
        <v>43</v>
      </c>
      <c r="E1579" s="8" t="s">
        <v>883</v>
      </c>
      <c r="F1579" s="8" t="s">
        <v>3878</v>
      </c>
      <c r="G1579" s="8" t="n">
        <f aca="false">+593999804267</f>
        <v>593999804267</v>
      </c>
      <c r="H1579" s="8" t="s">
        <v>3879</v>
      </c>
      <c r="I1579" s="8"/>
      <c r="J1579" s="1"/>
      <c r="K1579" s="1" t="s">
        <v>21</v>
      </c>
      <c r="L1579" s="1"/>
      <c r="M1579" s="1"/>
      <c r="N1579" s="1"/>
      <c r="O1579" s="1"/>
      <c r="P1579" s="6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customFormat="false" ht="21.75" hidden="false" customHeight="true" outlineLevel="0" collapsed="false">
      <c r="A1580" s="4" t="n">
        <v>43491</v>
      </c>
      <c r="B1580" s="8" t="s">
        <v>48</v>
      </c>
      <c r="C1580" s="8" t="s">
        <v>15</v>
      </c>
      <c r="D1580" s="8" t="s">
        <v>43</v>
      </c>
      <c r="E1580" s="8" t="s">
        <v>883</v>
      </c>
      <c r="F1580" s="8" t="s">
        <v>3880</v>
      </c>
      <c r="G1580" s="8" t="n">
        <f aca="false">+5930990614895</f>
        <v>5930990614895</v>
      </c>
      <c r="H1580" s="8" t="s">
        <v>3881</v>
      </c>
      <c r="I1580" s="8"/>
      <c r="J1580" s="1"/>
      <c r="K1580" s="1" t="s">
        <v>21</v>
      </c>
      <c r="L1580" s="1"/>
      <c r="M1580" s="1"/>
      <c r="N1580" s="1"/>
      <c r="O1580" s="1"/>
      <c r="P1580" s="6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customFormat="false" ht="21.75" hidden="false" customHeight="true" outlineLevel="0" collapsed="false">
      <c r="A1581" s="4" t="n">
        <v>43491</v>
      </c>
      <c r="B1581" s="8" t="s">
        <v>48</v>
      </c>
      <c r="C1581" s="8" t="s">
        <v>15</v>
      </c>
      <c r="D1581" s="8" t="s">
        <v>43</v>
      </c>
      <c r="E1581" s="8" t="s">
        <v>883</v>
      </c>
      <c r="F1581" s="8" t="s">
        <v>3882</v>
      </c>
      <c r="G1581" s="8" t="n">
        <f aca="false">+593979578624</f>
        <v>593979578624</v>
      </c>
      <c r="H1581" s="8" t="s">
        <v>3883</v>
      </c>
      <c r="I1581" s="8"/>
      <c r="J1581" s="1"/>
      <c r="K1581" s="1" t="s">
        <v>21</v>
      </c>
      <c r="L1581" s="1"/>
      <c r="M1581" s="1"/>
      <c r="N1581" s="1"/>
      <c r="O1581" s="1"/>
      <c r="P1581" s="6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customFormat="false" ht="21.75" hidden="false" customHeight="true" outlineLevel="0" collapsed="false">
      <c r="A1582" s="4" t="n">
        <v>43491</v>
      </c>
      <c r="B1582" s="8" t="s">
        <v>48</v>
      </c>
      <c r="C1582" s="8" t="s">
        <v>15</v>
      </c>
      <c r="D1582" s="8" t="s">
        <v>43</v>
      </c>
      <c r="E1582" s="8" t="s">
        <v>883</v>
      </c>
      <c r="F1582" s="8" t="s">
        <v>3884</v>
      </c>
      <c r="G1582" s="8" t="n">
        <f aca="false">+593996926378</f>
        <v>593996926378</v>
      </c>
      <c r="H1582" s="8" t="s">
        <v>3885</v>
      </c>
      <c r="I1582" s="8"/>
      <c r="J1582" s="1"/>
      <c r="K1582" s="1" t="s">
        <v>3886</v>
      </c>
      <c r="L1582" s="1"/>
      <c r="M1582" s="1"/>
      <c r="N1582" s="1"/>
      <c r="O1582" s="1"/>
      <c r="P1582" s="6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customFormat="false" ht="21.75" hidden="false" customHeight="true" outlineLevel="0" collapsed="false">
      <c r="A1583" s="4" t="n">
        <v>43491</v>
      </c>
      <c r="B1583" s="8" t="s">
        <v>48</v>
      </c>
      <c r="C1583" s="8" t="s">
        <v>15</v>
      </c>
      <c r="D1583" s="8" t="s">
        <v>43</v>
      </c>
      <c r="E1583" s="8" t="s">
        <v>883</v>
      </c>
      <c r="F1583" s="8" t="s">
        <v>3887</v>
      </c>
      <c r="G1583" s="8" t="n">
        <f aca="false">+593999038198</f>
        <v>593999038198</v>
      </c>
      <c r="H1583" s="8" t="s">
        <v>3888</v>
      </c>
      <c r="I1583" s="8"/>
      <c r="J1583" s="1"/>
      <c r="K1583" s="1" t="s">
        <v>21</v>
      </c>
      <c r="L1583" s="1"/>
      <c r="M1583" s="1"/>
      <c r="N1583" s="1"/>
      <c r="O1583" s="1"/>
      <c r="P1583" s="6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customFormat="false" ht="21.75" hidden="false" customHeight="true" outlineLevel="0" collapsed="false">
      <c r="A1584" s="4" t="n">
        <v>43491</v>
      </c>
      <c r="B1584" s="8" t="s">
        <v>48</v>
      </c>
      <c r="C1584" s="8" t="s">
        <v>15</v>
      </c>
      <c r="D1584" s="8" t="s">
        <v>43</v>
      </c>
      <c r="E1584" s="8" t="s">
        <v>883</v>
      </c>
      <c r="F1584" s="8" t="s">
        <v>3889</v>
      </c>
      <c r="G1584" s="8" t="n">
        <f aca="false">+593939354677</f>
        <v>593939354677</v>
      </c>
      <c r="H1584" s="8" t="s">
        <v>3890</v>
      </c>
      <c r="I1584" s="8"/>
      <c r="J1584" s="1"/>
      <c r="K1584" s="1" t="s">
        <v>21</v>
      </c>
      <c r="L1584" s="1"/>
      <c r="M1584" s="1"/>
      <c r="N1584" s="1"/>
      <c r="O1584" s="1"/>
      <c r="P1584" s="6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customFormat="false" ht="21.75" hidden="false" customHeight="true" outlineLevel="0" collapsed="false">
      <c r="A1585" s="4" t="n">
        <v>43491</v>
      </c>
      <c r="B1585" s="8" t="s">
        <v>48</v>
      </c>
      <c r="C1585" s="8" t="s">
        <v>15</v>
      </c>
      <c r="D1585" s="8" t="s">
        <v>43</v>
      </c>
      <c r="E1585" s="8" t="s">
        <v>883</v>
      </c>
      <c r="F1585" s="8" t="s">
        <v>3891</v>
      </c>
      <c r="G1585" s="8" t="n">
        <f aca="false">+593995134427</f>
        <v>593995134427</v>
      </c>
      <c r="H1585" s="8" t="s">
        <v>3892</v>
      </c>
      <c r="I1585" s="8"/>
      <c r="J1585" s="1"/>
      <c r="K1585" s="1" t="s">
        <v>1864</v>
      </c>
      <c r="L1585" s="1"/>
      <c r="M1585" s="1"/>
      <c r="N1585" s="1"/>
      <c r="O1585" s="1"/>
      <c r="P1585" s="6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customFormat="false" ht="21.75" hidden="false" customHeight="true" outlineLevel="0" collapsed="false">
      <c r="A1586" s="4" t="n">
        <v>43491</v>
      </c>
      <c r="B1586" s="8" t="s">
        <v>48</v>
      </c>
      <c r="C1586" s="8" t="s">
        <v>15</v>
      </c>
      <c r="D1586" s="8" t="s">
        <v>43</v>
      </c>
      <c r="E1586" s="8" t="s">
        <v>883</v>
      </c>
      <c r="F1586" s="39" t="s">
        <v>1621</v>
      </c>
      <c r="G1586" s="32" t="n">
        <v>959920987</v>
      </c>
      <c r="H1586" s="32" t="s">
        <v>1622</v>
      </c>
      <c r="I1586" s="32"/>
      <c r="J1586" s="1"/>
      <c r="K1586" s="1" t="s">
        <v>21</v>
      </c>
      <c r="L1586" s="1"/>
      <c r="M1586" s="1"/>
      <c r="N1586" s="1"/>
      <c r="O1586" s="1"/>
      <c r="P1586" s="6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customFormat="false" ht="21.75" hidden="false" customHeight="true" outlineLevel="0" collapsed="false">
      <c r="A1587" s="4" t="n">
        <v>43491</v>
      </c>
      <c r="B1587" s="8" t="s">
        <v>48</v>
      </c>
      <c r="C1587" s="8" t="s">
        <v>15</v>
      </c>
      <c r="D1587" s="8" t="s">
        <v>43</v>
      </c>
      <c r="E1587" s="8" t="s">
        <v>883</v>
      </c>
      <c r="F1587" s="39" t="s">
        <v>3893</v>
      </c>
      <c r="G1587" s="32" t="n">
        <v>968889808</v>
      </c>
      <c r="H1587" s="32" t="s">
        <v>3894</v>
      </c>
      <c r="I1587" s="32"/>
      <c r="J1587" s="1"/>
      <c r="K1587" s="1" t="s">
        <v>21</v>
      </c>
      <c r="L1587" s="1"/>
      <c r="M1587" s="1"/>
      <c r="N1587" s="1"/>
      <c r="O1587" s="1"/>
      <c r="P1587" s="6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customFormat="false" ht="21.75" hidden="false" customHeight="true" outlineLevel="0" collapsed="false">
      <c r="A1588" s="4" t="n">
        <v>43491</v>
      </c>
      <c r="B1588" s="8" t="s">
        <v>48</v>
      </c>
      <c r="C1588" s="8" t="s">
        <v>15</v>
      </c>
      <c r="D1588" s="8" t="s">
        <v>43</v>
      </c>
      <c r="E1588" s="8" t="s">
        <v>44</v>
      </c>
      <c r="F1588" s="8" t="s">
        <v>3895</v>
      </c>
      <c r="G1588" s="8" t="n">
        <f aca="false">+5930990656882</f>
        <v>5930990656882</v>
      </c>
      <c r="H1588" s="8" t="s">
        <v>3896</v>
      </c>
      <c r="I1588" s="8"/>
      <c r="J1588" s="1"/>
      <c r="K1588" s="1" t="s">
        <v>21</v>
      </c>
      <c r="L1588" s="1"/>
      <c r="M1588" s="1"/>
      <c r="N1588" s="1"/>
      <c r="O1588" s="1"/>
      <c r="P1588" s="6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customFormat="false" ht="21.75" hidden="false" customHeight="true" outlineLevel="0" collapsed="false">
      <c r="A1589" s="4" t="n">
        <v>43491</v>
      </c>
      <c r="B1589" s="8" t="s">
        <v>48</v>
      </c>
      <c r="C1589" s="8" t="s">
        <v>15</v>
      </c>
      <c r="D1589" s="8" t="s">
        <v>43</v>
      </c>
      <c r="E1589" s="8" t="s">
        <v>44</v>
      </c>
      <c r="F1589" s="8" t="s">
        <v>3897</v>
      </c>
      <c r="G1589" s="8" t="n">
        <f aca="false">+593987055114</f>
        <v>593987055114</v>
      </c>
      <c r="H1589" s="8" t="s">
        <v>3898</v>
      </c>
      <c r="I1589" s="8"/>
      <c r="J1589" s="1"/>
      <c r="K1589" s="1" t="s">
        <v>21</v>
      </c>
      <c r="L1589" s="1"/>
      <c r="M1589" s="1"/>
      <c r="N1589" s="1"/>
      <c r="O1589" s="1"/>
      <c r="P1589" s="6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customFormat="false" ht="21.75" hidden="false" customHeight="true" outlineLevel="0" collapsed="false">
      <c r="A1590" s="4" t="n">
        <v>43491</v>
      </c>
      <c r="B1590" s="8" t="s">
        <v>48</v>
      </c>
      <c r="C1590" s="8" t="s">
        <v>15</v>
      </c>
      <c r="D1590" s="8" t="s">
        <v>43</v>
      </c>
      <c r="E1590" s="8" t="s">
        <v>44</v>
      </c>
      <c r="F1590" s="8" t="s">
        <v>3899</v>
      </c>
      <c r="G1590" s="8" t="n">
        <f aca="false">+593997698990</f>
        <v>593997698990</v>
      </c>
      <c r="H1590" s="8" t="s">
        <v>3900</v>
      </c>
      <c r="I1590" s="8"/>
      <c r="J1590" s="1"/>
      <c r="K1590" s="1" t="s">
        <v>21</v>
      </c>
      <c r="L1590" s="1"/>
      <c r="M1590" s="1"/>
      <c r="N1590" s="1"/>
      <c r="O1590" s="1"/>
      <c r="P1590" s="6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customFormat="false" ht="21.75" hidden="false" customHeight="true" outlineLevel="0" collapsed="false">
      <c r="A1591" s="4" t="n">
        <v>43491</v>
      </c>
      <c r="B1591" s="8" t="s">
        <v>48</v>
      </c>
      <c r="C1591" s="8" t="s">
        <v>15</v>
      </c>
      <c r="D1591" s="8" t="s">
        <v>43</v>
      </c>
      <c r="E1591" s="8" t="s">
        <v>44</v>
      </c>
      <c r="F1591" s="8" t="s">
        <v>3901</v>
      </c>
      <c r="G1591" s="8" t="n">
        <f aca="false">+5930984044999</f>
        <v>5930984044999</v>
      </c>
      <c r="H1591" s="8" t="s">
        <v>3902</v>
      </c>
      <c r="I1591" s="8"/>
      <c r="J1591" s="1"/>
      <c r="K1591" s="1" t="s">
        <v>608</v>
      </c>
      <c r="L1591" s="1"/>
      <c r="M1591" s="1"/>
      <c r="N1591" s="1"/>
      <c r="O1591" s="1"/>
      <c r="P1591" s="6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customFormat="false" ht="21.75" hidden="false" customHeight="true" outlineLevel="0" collapsed="false">
      <c r="A1592" s="4" t="n">
        <v>43491</v>
      </c>
      <c r="B1592" s="8" t="s">
        <v>48</v>
      </c>
      <c r="C1592" s="8" t="s">
        <v>26</v>
      </c>
      <c r="D1592" s="8" t="s">
        <v>43</v>
      </c>
      <c r="E1592" s="8" t="s">
        <v>44</v>
      </c>
      <c r="F1592" s="8" t="s">
        <v>3903</v>
      </c>
      <c r="G1592" s="8" t="n">
        <f aca="false">+5930980979963</f>
        <v>5930980979963</v>
      </c>
      <c r="H1592" s="8" t="s">
        <v>3904</v>
      </c>
      <c r="I1592" s="8"/>
      <c r="J1592" s="1"/>
      <c r="K1592" s="1" t="s">
        <v>21</v>
      </c>
      <c r="L1592" s="1"/>
      <c r="M1592" s="1"/>
      <c r="N1592" s="1"/>
      <c r="O1592" s="1"/>
      <c r="P1592" s="6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customFormat="false" ht="21.75" hidden="false" customHeight="true" outlineLevel="0" collapsed="false">
      <c r="A1593" s="4" t="n">
        <v>43491</v>
      </c>
      <c r="B1593" s="8" t="s">
        <v>48</v>
      </c>
      <c r="C1593" s="8" t="s">
        <v>15</v>
      </c>
      <c r="D1593" s="8" t="s">
        <v>43</v>
      </c>
      <c r="E1593" s="8" t="s">
        <v>44</v>
      </c>
      <c r="F1593" s="8" t="s">
        <v>3905</v>
      </c>
      <c r="G1593" s="8" t="n">
        <f aca="false">+593981643261</f>
        <v>593981643261</v>
      </c>
      <c r="H1593" s="8" t="s">
        <v>3906</v>
      </c>
      <c r="I1593" s="8"/>
      <c r="J1593" s="1"/>
      <c r="K1593" s="1" t="s">
        <v>21</v>
      </c>
      <c r="L1593" s="1"/>
      <c r="M1593" s="1"/>
      <c r="N1593" s="1"/>
      <c r="O1593" s="1"/>
      <c r="P1593" s="6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customFormat="false" ht="21.75" hidden="false" customHeight="true" outlineLevel="0" collapsed="false">
      <c r="A1594" s="4" t="n">
        <v>43491</v>
      </c>
      <c r="B1594" s="8" t="s">
        <v>48</v>
      </c>
      <c r="C1594" s="8" t="s">
        <v>15</v>
      </c>
      <c r="D1594" s="8" t="s">
        <v>43</v>
      </c>
      <c r="E1594" s="8" t="s">
        <v>44</v>
      </c>
      <c r="F1594" s="8" t="s">
        <v>3907</v>
      </c>
      <c r="G1594" s="8" t="n">
        <f aca="false">+593993701180</f>
        <v>593993701180</v>
      </c>
      <c r="H1594" s="8" t="s">
        <v>3908</v>
      </c>
      <c r="I1594" s="8"/>
      <c r="J1594" s="1"/>
      <c r="K1594" s="1" t="s">
        <v>21</v>
      </c>
      <c r="L1594" s="1"/>
      <c r="M1594" s="1"/>
      <c r="N1594" s="1"/>
      <c r="O1594" s="1"/>
      <c r="P1594" s="6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customFormat="false" ht="21.75" hidden="false" customHeight="true" outlineLevel="0" collapsed="false">
      <c r="A1595" s="4" t="n">
        <v>43491</v>
      </c>
      <c r="B1595" s="8" t="s">
        <v>48</v>
      </c>
      <c r="C1595" s="8" t="s">
        <v>15</v>
      </c>
      <c r="D1595" s="8" t="s">
        <v>43</v>
      </c>
      <c r="E1595" s="8" t="s">
        <v>44</v>
      </c>
      <c r="F1595" s="8" t="s">
        <v>3909</v>
      </c>
      <c r="G1595" s="8" t="n">
        <f aca="false">+593984718126</f>
        <v>593984718126</v>
      </c>
      <c r="H1595" s="8" t="s">
        <v>3910</v>
      </c>
      <c r="I1595" s="8"/>
      <c r="J1595" s="1"/>
      <c r="K1595" s="1" t="s">
        <v>3911</v>
      </c>
      <c r="L1595" s="1"/>
      <c r="M1595" s="1"/>
      <c r="N1595" s="1"/>
      <c r="O1595" s="1"/>
      <c r="P1595" s="6" t="s">
        <v>3126</v>
      </c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customFormat="false" ht="21.75" hidden="false" customHeight="true" outlineLevel="0" collapsed="false">
      <c r="A1596" s="4" t="n">
        <v>43491</v>
      </c>
      <c r="B1596" s="8" t="s">
        <v>48</v>
      </c>
      <c r="C1596" s="8" t="s">
        <v>15</v>
      </c>
      <c r="D1596" s="8" t="s">
        <v>43</v>
      </c>
      <c r="E1596" s="8" t="s">
        <v>44</v>
      </c>
      <c r="F1596" s="8" t="s">
        <v>3912</v>
      </c>
      <c r="G1596" s="8" t="n">
        <f aca="false">+593984641854</f>
        <v>593984641854</v>
      </c>
      <c r="H1596" s="8" t="s">
        <v>3913</v>
      </c>
      <c r="I1596" s="8"/>
      <c r="J1596" s="1"/>
      <c r="K1596" s="1" t="s">
        <v>36</v>
      </c>
      <c r="L1596" s="1"/>
      <c r="M1596" s="1"/>
      <c r="N1596" s="1"/>
      <c r="O1596" s="1"/>
      <c r="P1596" s="6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customFormat="false" ht="21.75" hidden="false" customHeight="true" outlineLevel="0" collapsed="false">
      <c r="A1597" s="4" t="n">
        <v>43491</v>
      </c>
      <c r="B1597" s="8" t="s">
        <v>48</v>
      </c>
      <c r="C1597" s="8" t="s">
        <v>15</v>
      </c>
      <c r="D1597" s="8" t="s">
        <v>43</v>
      </c>
      <c r="E1597" s="8" t="s">
        <v>44</v>
      </c>
      <c r="F1597" s="39" t="s">
        <v>3914</v>
      </c>
      <c r="G1597" s="32" t="n">
        <v>961344826</v>
      </c>
      <c r="H1597" s="32" t="s">
        <v>3915</v>
      </c>
      <c r="I1597" s="32"/>
      <c r="J1597" s="1"/>
      <c r="K1597" s="1" t="s">
        <v>3916</v>
      </c>
      <c r="L1597" s="1"/>
      <c r="M1597" s="1"/>
      <c r="N1597" s="1"/>
      <c r="O1597" s="1"/>
      <c r="P1597" s="6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customFormat="false" ht="21.75" hidden="false" customHeight="true" outlineLevel="0" collapsed="false">
      <c r="A1598" s="4" t="n">
        <v>43491</v>
      </c>
      <c r="B1598" s="8" t="s">
        <v>48</v>
      </c>
      <c r="C1598" s="8" t="s">
        <v>15</v>
      </c>
      <c r="D1598" s="8" t="s">
        <v>43</v>
      </c>
      <c r="E1598" s="8" t="s">
        <v>109</v>
      </c>
      <c r="F1598" s="8" t="s">
        <v>3917</v>
      </c>
      <c r="G1598" s="8" t="n">
        <f aca="false">+593989616232</f>
        <v>593989616232</v>
      </c>
      <c r="H1598" s="8" t="s">
        <v>3918</v>
      </c>
      <c r="I1598" s="8"/>
      <c r="J1598" s="1"/>
      <c r="K1598" s="1" t="s">
        <v>21</v>
      </c>
      <c r="L1598" s="1"/>
      <c r="M1598" s="1"/>
      <c r="N1598" s="1"/>
      <c r="O1598" s="1"/>
      <c r="P1598" s="6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customFormat="false" ht="21.75" hidden="false" customHeight="true" outlineLevel="0" collapsed="false">
      <c r="A1599" s="4" t="n">
        <v>43491</v>
      </c>
      <c r="B1599" s="8" t="s">
        <v>48</v>
      </c>
      <c r="C1599" s="8" t="s">
        <v>15</v>
      </c>
      <c r="D1599" s="8" t="s">
        <v>43</v>
      </c>
      <c r="E1599" s="8" t="s">
        <v>109</v>
      </c>
      <c r="F1599" s="8" t="s">
        <v>3919</v>
      </c>
      <c r="G1599" s="8" t="n">
        <f aca="false">+593982615089</f>
        <v>593982615089</v>
      </c>
      <c r="H1599" s="8" t="s">
        <v>3920</v>
      </c>
      <c r="I1599" s="8"/>
      <c r="J1599" s="1"/>
      <c r="K1599" s="1" t="s">
        <v>21</v>
      </c>
      <c r="L1599" s="1"/>
      <c r="M1599" s="1"/>
      <c r="N1599" s="1"/>
      <c r="O1599" s="1"/>
      <c r="P1599" s="6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customFormat="false" ht="21.75" hidden="false" customHeight="true" outlineLevel="0" collapsed="false">
      <c r="A1600" s="4" t="n">
        <v>43491</v>
      </c>
      <c r="B1600" s="8" t="s">
        <v>48</v>
      </c>
      <c r="C1600" s="8" t="s">
        <v>15</v>
      </c>
      <c r="D1600" s="8" t="s">
        <v>43</v>
      </c>
      <c r="E1600" s="8" t="s">
        <v>109</v>
      </c>
      <c r="F1600" s="8" t="s">
        <v>3921</v>
      </c>
      <c r="G1600" s="8" t="n">
        <f aca="false">+593993356289</f>
        <v>593993356289</v>
      </c>
      <c r="H1600" s="8" t="s">
        <v>3922</v>
      </c>
      <c r="I1600" s="8"/>
      <c r="J1600" s="1"/>
      <c r="K1600" s="1" t="s">
        <v>21</v>
      </c>
      <c r="L1600" s="1"/>
      <c r="M1600" s="1"/>
      <c r="N1600" s="1"/>
      <c r="O1600" s="1"/>
      <c r="P1600" s="6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customFormat="false" ht="21.75" hidden="false" customHeight="true" outlineLevel="0" collapsed="false">
      <c r="A1601" s="4" t="n">
        <v>43491</v>
      </c>
      <c r="B1601" s="8" t="s">
        <v>48</v>
      </c>
      <c r="C1601" s="8" t="s">
        <v>15</v>
      </c>
      <c r="D1601" s="8" t="s">
        <v>43</v>
      </c>
      <c r="E1601" s="8" t="s">
        <v>109</v>
      </c>
      <c r="F1601" s="8" t="s">
        <v>3923</v>
      </c>
      <c r="G1601" s="8" t="n">
        <f aca="false">+593959680371</f>
        <v>593959680371</v>
      </c>
      <c r="H1601" s="8" t="s">
        <v>3924</v>
      </c>
      <c r="I1601" s="8"/>
      <c r="J1601" s="1"/>
      <c r="K1601" s="1" t="s">
        <v>21</v>
      </c>
      <c r="L1601" s="1"/>
      <c r="M1601" s="1"/>
      <c r="N1601" s="1"/>
      <c r="O1601" s="1"/>
      <c r="P1601" s="6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customFormat="false" ht="21.75" hidden="false" customHeight="true" outlineLevel="0" collapsed="false">
      <c r="A1602" s="4" t="n">
        <v>43491</v>
      </c>
      <c r="B1602" s="8" t="s">
        <v>48</v>
      </c>
      <c r="C1602" s="8" t="s">
        <v>15</v>
      </c>
      <c r="D1602" s="8" t="s">
        <v>43</v>
      </c>
      <c r="E1602" s="8" t="s">
        <v>109</v>
      </c>
      <c r="F1602" s="8" t="s">
        <v>3925</v>
      </c>
      <c r="G1602" s="8" t="n">
        <f aca="false">+5930999303767</f>
        <v>5930999303767</v>
      </c>
      <c r="H1602" s="8" t="s">
        <v>3926</v>
      </c>
      <c r="I1602" s="8"/>
      <c r="J1602" s="1"/>
      <c r="K1602" s="1" t="s">
        <v>21</v>
      </c>
      <c r="L1602" s="1"/>
      <c r="M1602" s="1"/>
      <c r="N1602" s="1"/>
      <c r="O1602" s="1"/>
      <c r="P1602" s="6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customFormat="false" ht="21.75" hidden="false" customHeight="true" outlineLevel="0" collapsed="false">
      <c r="A1603" s="4" t="n">
        <v>43491</v>
      </c>
      <c r="B1603" s="8" t="s">
        <v>48</v>
      </c>
      <c r="C1603" s="8" t="s">
        <v>15</v>
      </c>
      <c r="D1603" s="8" t="s">
        <v>43</v>
      </c>
      <c r="E1603" s="8" t="s">
        <v>109</v>
      </c>
      <c r="F1603" s="8" t="s">
        <v>3927</v>
      </c>
      <c r="G1603" s="8" t="n">
        <f aca="false">+593994748523</f>
        <v>593994748523</v>
      </c>
      <c r="H1603" s="8" t="s">
        <v>3928</v>
      </c>
      <c r="I1603" s="8"/>
      <c r="J1603" s="1"/>
      <c r="K1603" s="1" t="s">
        <v>21</v>
      </c>
      <c r="L1603" s="1" t="s">
        <v>3929</v>
      </c>
      <c r="M1603" s="1"/>
      <c r="N1603" s="1"/>
      <c r="O1603" s="1"/>
      <c r="P1603" s="6" t="s">
        <v>58</v>
      </c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customFormat="false" ht="21.75" hidden="false" customHeight="true" outlineLevel="0" collapsed="false">
      <c r="A1604" s="4" t="n">
        <v>43491</v>
      </c>
      <c r="B1604" s="8" t="s">
        <v>48</v>
      </c>
      <c r="C1604" s="8" t="s">
        <v>15</v>
      </c>
      <c r="D1604" s="8" t="s">
        <v>43</v>
      </c>
      <c r="E1604" s="8" t="s">
        <v>109</v>
      </c>
      <c r="F1604" s="8" t="s">
        <v>3930</v>
      </c>
      <c r="G1604" s="8" t="n">
        <f aca="false">+593959055886</f>
        <v>593959055886</v>
      </c>
      <c r="H1604" s="8" t="s">
        <v>3931</v>
      </c>
      <c r="I1604" s="8"/>
      <c r="J1604" s="1"/>
      <c r="K1604" s="1" t="s">
        <v>3932</v>
      </c>
      <c r="L1604" s="1"/>
      <c r="M1604" s="1"/>
      <c r="N1604" s="1"/>
      <c r="O1604" s="1"/>
      <c r="P1604" s="6" t="s">
        <v>2756</v>
      </c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customFormat="false" ht="21.75" hidden="false" customHeight="true" outlineLevel="0" collapsed="false">
      <c r="A1605" s="4" t="n">
        <v>43491</v>
      </c>
      <c r="B1605" s="8" t="s">
        <v>48</v>
      </c>
      <c r="C1605" s="8" t="s">
        <v>26</v>
      </c>
      <c r="D1605" s="8" t="s">
        <v>43</v>
      </c>
      <c r="E1605" s="8" t="s">
        <v>109</v>
      </c>
      <c r="F1605" s="8" t="s">
        <v>3933</v>
      </c>
      <c r="G1605" s="8" t="n">
        <f aca="false">+593979851306</f>
        <v>593979851306</v>
      </c>
      <c r="H1605" s="8" t="s">
        <v>3934</v>
      </c>
      <c r="I1605" s="8"/>
      <c r="J1605" s="1"/>
      <c r="K1605" s="1" t="s">
        <v>21</v>
      </c>
      <c r="L1605" s="1"/>
      <c r="M1605" s="1"/>
      <c r="N1605" s="1"/>
      <c r="O1605" s="1"/>
      <c r="P1605" s="6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customFormat="false" ht="21.75" hidden="false" customHeight="true" outlineLevel="0" collapsed="false">
      <c r="A1606" s="4" t="n">
        <v>43491</v>
      </c>
      <c r="B1606" s="8" t="s">
        <v>48</v>
      </c>
      <c r="C1606" s="8" t="s">
        <v>15</v>
      </c>
      <c r="D1606" s="8" t="s">
        <v>43</v>
      </c>
      <c r="E1606" s="8" t="s">
        <v>109</v>
      </c>
      <c r="F1606" s="8" t="s">
        <v>3935</v>
      </c>
      <c r="G1606" s="8" t="n">
        <f aca="false">+593997163510</f>
        <v>593997163510</v>
      </c>
      <c r="H1606" s="8" t="s">
        <v>3936</v>
      </c>
      <c r="I1606" s="8"/>
      <c r="J1606" s="1"/>
      <c r="K1606" s="1" t="s">
        <v>21</v>
      </c>
      <c r="L1606" s="1"/>
      <c r="M1606" s="1"/>
      <c r="N1606" s="1"/>
      <c r="O1606" s="1"/>
      <c r="P1606" s="6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customFormat="false" ht="21.75" hidden="false" customHeight="true" outlineLevel="0" collapsed="false">
      <c r="A1607" s="4" t="n">
        <v>43491</v>
      </c>
      <c r="B1607" s="8" t="s">
        <v>48</v>
      </c>
      <c r="C1607" s="8" t="s">
        <v>15</v>
      </c>
      <c r="D1607" s="8" t="s">
        <v>43</v>
      </c>
      <c r="E1607" s="8" t="s">
        <v>109</v>
      </c>
      <c r="F1607" s="8" t="s">
        <v>3937</v>
      </c>
      <c r="G1607" s="8" t="n">
        <f aca="false">+593997451046</f>
        <v>593997451046</v>
      </c>
      <c r="H1607" s="8" t="s">
        <v>3938</v>
      </c>
      <c r="I1607" s="8"/>
      <c r="J1607" s="1"/>
      <c r="K1607" s="1" t="s">
        <v>21</v>
      </c>
      <c r="L1607" s="1"/>
      <c r="M1607" s="1"/>
      <c r="N1607" s="1"/>
      <c r="O1607" s="1"/>
      <c r="P1607" s="6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customFormat="false" ht="21.75" hidden="false" customHeight="true" outlineLevel="0" collapsed="false">
      <c r="A1608" s="4" t="n">
        <v>43491</v>
      </c>
      <c r="B1608" s="8" t="s">
        <v>48</v>
      </c>
      <c r="C1608" s="8" t="s">
        <v>15</v>
      </c>
      <c r="D1608" s="8" t="s">
        <v>43</v>
      </c>
      <c r="E1608" s="8" t="s">
        <v>109</v>
      </c>
      <c r="F1608" s="8" t="s">
        <v>3939</v>
      </c>
      <c r="G1608" s="8" t="n">
        <f aca="false">+593980396715</f>
        <v>593980396715</v>
      </c>
      <c r="H1608" s="8" t="s">
        <v>3940</v>
      </c>
      <c r="I1608" s="8"/>
      <c r="J1608" s="1"/>
      <c r="K1608" s="1" t="s">
        <v>21</v>
      </c>
      <c r="L1608" s="1"/>
      <c r="M1608" s="1"/>
      <c r="N1608" s="1"/>
      <c r="O1608" s="1"/>
      <c r="P1608" s="6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customFormat="false" ht="21.75" hidden="false" customHeight="true" outlineLevel="0" collapsed="false">
      <c r="A1609" s="4" t="n">
        <v>43491</v>
      </c>
      <c r="B1609" s="8" t="s">
        <v>48</v>
      </c>
      <c r="C1609" s="8" t="s">
        <v>15</v>
      </c>
      <c r="D1609" s="8" t="s">
        <v>43</v>
      </c>
      <c r="E1609" s="8" t="s">
        <v>109</v>
      </c>
      <c r="F1609" s="39" t="s">
        <v>3941</v>
      </c>
      <c r="G1609" s="32" t="n">
        <v>994312755</v>
      </c>
      <c r="H1609" s="32" t="s">
        <v>3942</v>
      </c>
      <c r="I1609" s="32"/>
      <c r="J1609" s="1"/>
      <c r="K1609" s="1" t="s">
        <v>21</v>
      </c>
      <c r="L1609" s="1"/>
      <c r="M1609" s="1"/>
      <c r="N1609" s="1"/>
      <c r="O1609" s="1"/>
      <c r="P1609" s="6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customFormat="false" ht="21.75" hidden="false" customHeight="true" outlineLevel="0" collapsed="false">
      <c r="A1610" s="4" t="n">
        <v>43491</v>
      </c>
      <c r="B1610" s="8" t="s">
        <v>48</v>
      </c>
      <c r="C1610" s="8" t="s">
        <v>15</v>
      </c>
      <c r="D1610" s="8" t="s">
        <v>43</v>
      </c>
      <c r="E1610" s="8" t="s">
        <v>109</v>
      </c>
      <c r="F1610" s="39" t="s">
        <v>3943</v>
      </c>
      <c r="G1610" s="32" t="n">
        <v>960421404</v>
      </c>
      <c r="H1610" s="32" t="s">
        <v>3944</v>
      </c>
      <c r="I1610" s="32"/>
      <c r="J1610" s="1"/>
      <c r="K1610" s="1" t="s">
        <v>21</v>
      </c>
      <c r="L1610" s="1"/>
      <c r="M1610" s="1"/>
      <c r="N1610" s="1"/>
      <c r="O1610" s="1"/>
      <c r="P1610" s="6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customFormat="false" ht="21.75" hidden="false" customHeight="true" outlineLevel="0" collapsed="false">
      <c r="A1611" s="4" t="n">
        <v>43491</v>
      </c>
      <c r="B1611" s="8" t="s">
        <v>48</v>
      </c>
      <c r="C1611" s="8" t="s">
        <v>15</v>
      </c>
      <c r="D1611" s="8" t="s">
        <v>43</v>
      </c>
      <c r="E1611" s="8" t="s">
        <v>109</v>
      </c>
      <c r="F1611" s="39" t="s">
        <v>3945</v>
      </c>
      <c r="G1611" s="32" t="n">
        <v>979932092</v>
      </c>
      <c r="H1611" s="32" t="s">
        <v>3946</v>
      </c>
      <c r="I1611" s="32"/>
      <c r="J1611" s="1"/>
      <c r="K1611" s="1" t="s">
        <v>21</v>
      </c>
      <c r="L1611" s="1"/>
      <c r="M1611" s="1"/>
      <c r="N1611" s="1"/>
      <c r="O1611" s="1"/>
      <c r="P1611" s="6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customFormat="false" ht="21.75" hidden="false" customHeight="true" outlineLevel="0" collapsed="false">
      <c r="A1612" s="4" t="n">
        <v>43491</v>
      </c>
      <c r="B1612" s="8" t="s">
        <v>48</v>
      </c>
      <c r="C1612" s="8" t="s">
        <v>15</v>
      </c>
      <c r="D1612" s="8" t="s">
        <v>43</v>
      </c>
      <c r="E1612" s="8" t="s">
        <v>109</v>
      </c>
      <c r="F1612" s="39" t="s">
        <v>3947</v>
      </c>
      <c r="G1612" s="32" t="n">
        <v>978794480</v>
      </c>
      <c r="H1612" s="32" t="s">
        <v>3948</v>
      </c>
      <c r="I1612" s="32"/>
      <c r="J1612" s="1"/>
      <c r="K1612" s="1" t="s">
        <v>3949</v>
      </c>
      <c r="L1612" s="1"/>
      <c r="M1612" s="1"/>
      <c r="N1612" s="1"/>
      <c r="O1612" s="1"/>
      <c r="P1612" s="6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customFormat="false" ht="21.75" hidden="false" customHeight="true" outlineLevel="0" collapsed="false">
      <c r="A1613" s="4" t="n">
        <v>43491</v>
      </c>
      <c r="B1613" s="8" t="s">
        <v>48</v>
      </c>
      <c r="C1613" s="8" t="s">
        <v>15</v>
      </c>
      <c r="D1613" s="8" t="s">
        <v>43</v>
      </c>
      <c r="E1613" s="8" t="s">
        <v>109</v>
      </c>
      <c r="F1613" s="39" t="s">
        <v>3950</v>
      </c>
      <c r="G1613" s="32" t="n">
        <v>999409447</v>
      </c>
      <c r="H1613" s="32" t="s">
        <v>3951</v>
      </c>
      <c r="I1613" s="32"/>
      <c r="J1613" s="1"/>
      <c r="K1613" s="1" t="s">
        <v>3952</v>
      </c>
      <c r="L1613" s="1"/>
      <c r="M1613" s="1"/>
      <c r="N1613" s="1"/>
      <c r="O1613" s="1"/>
      <c r="P1613" s="6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customFormat="false" ht="21.75" hidden="false" customHeight="true" outlineLevel="0" collapsed="false">
      <c r="A1614" s="4" t="n">
        <v>43491</v>
      </c>
      <c r="B1614" s="8" t="s">
        <v>532</v>
      </c>
      <c r="C1614" s="8" t="s">
        <v>15</v>
      </c>
      <c r="D1614" s="8" t="s">
        <v>43</v>
      </c>
      <c r="E1614" s="8" t="s">
        <v>109</v>
      </c>
      <c r="F1614" s="8" t="s">
        <v>3953</v>
      </c>
      <c r="G1614" s="8" t="n">
        <f aca="false">+593939934648</f>
        <v>593939934648</v>
      </c>
      <c r="H1614" s="8" t="s">
        <v>3954</v>
      </c>
      <c r="I1614" s="8"/>
      <c r="J1614" s="1"/>
      <c r="K1614" s="1" t="s">
        <v>21</v>
      </c>
      <c r="L1614" s="1"/>
      <c r="M1614" s="1"/>
      <c r="N1614" s="1"/>
      <c r="O1614" s="1"/>
      <c r="P1614" s="6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customFormat="false" ht="21.75" hidden="false" customHeight="true" outlineLevel="0" collapsed="false">
      <c r="A1615" s="4" t="n">
        <v>43491</v>
      </c>
      <c r="B1615" s="8" t="s">
        <v>532</v>
      </c>
      <c r="C1615" s="8" t="s">
        <v>15</v>
      </c>
      <c r="D1615" s="8" t="s">
        <v>43</v>
      </c>
      <c r="E1615" s="8" t="s">
        <v>109</v>
      </c>
      <c r="F1615" s="8" t="s">
        <v>3955</v>
      </c>
      <c r="G1615" s="8" t="n">
        <f aca="false">+5930998583057</f>
        <v>5930998583057</v>
      </c>
      <c r="H1615" s="8" t="s">
        <v>3956</v>
      </c>
      <c r="I1615" s="8"/>
      <c r="J1615" s="1"/>
      <c r="K1615" s="1" t="s">
        <v>3957</v>
      </c>
      <c r="L1615" s="1"/>
      <c r="M1615" s="1"/>
      <c r="N1615" s="1"/>
      <c r="O1615" s="1"/>
      <c r="P1615" s="6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customFormat="false" ht="21.75" hidden="false" customHeight="true" outlineLevel="0" collapsed="false">
      <c r="A1616" s="4" t="n">
        <v>43491</v>
      </c>
      <c r="B1616" s="8" t="s">
        <v>127</v>
      </c>
      <c r="C1616" s="8" t="s">
        <v>26</v>
      </c>
      <c r="D1616" s="8" t="s">
        <v>43</v>
      </c>
      <c r="E1616" s="8" t="s">
        <v>883</v>
      </c>
      <c r="F1616" s="8" t="s">
        <v>3958</v>
      </c>
      <c r="G1616" s="8" t="n">
        <f aca="false">+593988646985</f>
        <v>593988646985</v>
      </c>
      <c r="H1616" s="8" t="s">
        <v>3959</v>
      </c>
      <c r="I1616" s="8"/>
      <c r="J1616" s="1"/>
      <c r="K1616" s="1" t="s">
        <v>21</v>
      </c>
      <c r="L1616" s="1"/>
      <c r="M1616" s="1"/>
      <c r="N1616" s="1"/>
      <c r="O1616" s="1"/>
      <c r="P1616" s="6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customFormat="false" ht="21.75" hidden="false" customHeight="true" outlineLevel="0" collapsed="false">
      <c r="A1617" s="4" t="n">
        <v>43491</v>
      </c>
      <c r="B1617" s="8" t="s">
        <v>127</v>
      </c>
      <c r="C1617" s="8" t="s">
        <v>15</v>
      </c>
      <c r="D1617" s="8" t="s">
        <v>43</v>
      </c>
      <c r="E1617" s="8" t="s">
        <v>883</v>
      </c>
      <c r="F1617" s="8" t="s">
        <v>3960</v>
      </c>
      <c r="G1617" s="8" t="n">
        <f aca="false">+593988231482</f>
        <v>593988231482</v>
      </c>
      <c r="H1617" s="8" t="s">
        <v>3961</v>
      </c>
      <c r="I1617" s="8"/>
      <c r="J1617" s="1"/>
      <c r="K1617" s="1" t="s">
        <v>21</v>
      </c>
      <c r="L1617" s="1"/>
      <c r="M1617" s="1"/>
      <c r="N1617" s="1"/>
      <c r="O1617" s="1"/>
      <c r="P1617" s="6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customFormat="false" ht="21.75" hidden="false" customHeight="true" outlineLevel="0" collapsed="false">
      <c r="A1618" s="4" t="n">
        <v>43491</v>
      </c>
      <c r="B1618" s="8" t="s">
        <v>127</v>
      </c>
      <c r="C1618" s="8" t="s">
        <v>15</v>
      </c>
      <c r="D1618" s="8" t="s">
        <v>43</v>
      </c>
      <c r="E1618" s="8" t="s">
        <v>44</v>
      </c>
      <c r="F1618" s="8" t="s">
        <v>3962</v>
      </c>
      <c r="G1618" s="8" t="n">
        <f aca="false">+593997355051</f>
        <v>593997355051</v>
      </c>
      <c r="H1618" s="8" t="s">
        <v>3963</v>
      </c>
      <c r="I1618" s="8"/>
      <c r="J1618" s="1"/>
      <c r="K1618" s="1" t="s">
        <v>21</v>
      </c>
      <c r="L1618" s="1"/>
      <c r="M1618" s="1"/>
      <c r="N1618" s="1"/>
      <c r="O1618" s="1"/>
      <c r="P1618" s="6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customFormat="false" ht="21.75" hidden="false" customHeight="true" outlineLevel="0" collapsed="false">
      <c r="A1619" s="4" t="n">
        <v>43491</v>
      </c>
      <c r="B1619" s="8" t="s">
        <v>127</v>
      </c>
      <c r="C1619" s="8" t="s">
        <v>15</v>
      </c>
      <c r="D1619" s="8" t="s">
        <v>43</v>
      </c>
      <c r="E1619" s="8" t="s">
        <v>44</v>
      </c>
      <c r="F1619" s="8" t="s">
        <v>3964</v>
      </c>
      <c r="G1619" s="8" t="n">
        <f aca="false">+593991102434</f>
        <v>593991102434</v>
      </c>
      <c r="H1619" s="8" t="s">
        <v>3965</v>
      </c>
      <c r="I1619" s="8"/>
      <c r="J1619" s="1"/>
      <c r="K1619" s="1" t="s">
        <v>21</v>
      </c>
      <c r="L1619" s="1"/>
      <c r="M1619" s="1"/>
      <c r="N1619" s="1"/>
      <c r="O1619" s="1"/>
      <c r="P1619" s="6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customFormat="false" ht="21.75" hidden="false" customHeight="true" outlineLevel="0" collapsed="false">
      <c r="A1620" s="4" t="n">
        <v>43491</v>
      </c>
      <c r="B1620" s="8" t="s">
        <v>127</v>
      </c>
      <c r="C1620" s="8" t="s">
        <v>15</v>
      </c>
      <c r="D1620" s="8" t="s">
        <v>43</v>
      </c>
      <c r="E1620" s="8" t="s">
        <v>44</v>
      </c>
      <c r="F1620" s="8" t="s">
        <v>3966</v>
      </c>
      <c r="G1620" s="8" t="n">
        <f aca="false">+593992231186</f>
        <v>593992231186</v>
      </c>
      <c r="H1620" s="8" t="s">
        <v>3967</v>
      </c>
      <c r="I1620" s="8"/>
      <c r="J1620" s="1"/>
      <c r="K1620" s="1" t="s">
        <v>21</v>
      </c>
      <c r="L1620" s="1"/>
      <c r="M1620" s="1"/>
      <c r="N1620" s="1"/>
      <c r="O1620" s="1"/>
      <c r="P1620" s="6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customFormat="false" ht="21.75" hidden="false" customHeight="true" outlineLevel="0" collapsed="false">
      <c r="A1621" s="4" t="n">
        <v>43491</v>
      </c>
      <c r="B1621" s="8" t="s">
        <v>127</v>
      </c>
      <c r="C1621" s="8" t="s">
        <v>15</v>
      </c>
      <c r="D1621" s="8" t="s">
        <v>43</v>
      </c>
      <c r="E1621" s="8" t="s">
        <v>44</v>
      </c>
      <c r="F1621" s="8" t="s">
        <v>3968</v>
      </c>
      <c r="G1621" s="8" t="n">
        <f aca="false">+593987442412</f>
        <v>593987442412</v>
      </c>
      <c r="H1621" s="8" t="s">
        <v>3969</v>
      </c>
      <c r="I1621" s="8"/>
      <c r="J1621" s="1"/>
      <c r="K1621" s="1" t="s">
        <v>21</v>
      </c>
      <c r="L1621" s="1"/>
      <c r="M1621" s="1"/>
      <c r="N1621" s="1"/>
      <c r="O1621" s="1"/>
      <c r="P1621" s="6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customFormat="false" ht="21.75" hidden="false" customHeight="true" outlineLevel="0" collapsed="false">
      <c r="A1622" s="4" t="n">
        <v>43491</v>
      </c>
      <c r="B1622" s="8" t="s">
        <v>127</v>
      </c>
      <c r="C1622" s="8" t="s">
        <v>15</v>
      </c>
      <c r="D1622" s="8" t="s">
        <v>43</v>
      </c>
      <c r="E1622" s="8" t="s">
        <v>109</v>
      </c>
      <c r="F1622" s="8" t="s">
        <v>3970</v>
      </c>
      <c r="G1622" s="8" t="n">
        <f aca="false">+5930989693895</f>
        <v>5930989693895</v>
      </c>
      <c r="H1622" s="8" t="s">
        <v>3971</v>
      </c>
      <c r="I1622" s="8"/>
      <c r="J1622" s="1"/>
      <c r="K1622" s="1" t="s">
        <v>21</v>
      </c>
      <c r="L1622" s="1"/>
      <c r="M1622" s="1"/>
      <c r="N1622" s="1"/>
      <c r="O1622" s="1"/>
      <c r="P1622" s="6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customFormat="false" ht="21.75" hidden="false" customHeight="true" outlineLevel="0" collapsed="false">
      <c r="A1623" s="4" t="n">
        <v>43491</v>
      </c>
      <c r="B1623" s="8" t="s">
        <v>127</v>
      </c>
      <c r="C1623" s="8" t="s">
        <v>15</v>
      </c>
      <c r="D1623" s="8" t="s">
        <v>43</v>
      </c>
      <c r="E1623" s="8" t="s">
        <v>109</v>
      </c>
      <c r="F1623" s="8" t="s">
        <v>3849</v>
      </c>
      <c r="G1623" s="8" t="n">
        <f aca="false">+593986559632</f>
        <v>593986559632</v>
      </c>
      <c r="H1623" s="8" t="s">
        <v>3850</v>
      </c>
      <c r="I1623" s="8"/>
      <c r="J1623" s="1"/>
      <c r="K1623" s="1" t="s">
        <v>21</v>
      </c>
      <c r="L1623" s="1"/>
      <c r="M1623" s="1"/>
      <c r="N1623" s="1"/>
      <c r="O1623" s="1"/>
      <c r="P1623" s="6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customFormat="false" ht="21.75" hidden="false" customHeight="true" outlineLevel="0" collapsed="false">
      <c r="A1624" s="4" t="n">
        <v>43491</v>
      </c>
      <c r="B1624" s="8" t="s">
        <v>127</v>
      </c>
      <c r="C1624" s="8" t="s">
        <v>26</v>
      </c>
      <c r="D1624" s="8" t="s">
        <v>43</v>
      </c>
      <c r="E1624" s="8" t="s">
        <v>109</v>
      </c>
      <c r="F1624" s="8" t="s">
        <v>3972</v>
      </c>
      <c r="G1624" s="8" t="n">
        <f aca="false">+593969984658</f>
        <v>593969984658</v>
      </c>
      <c r="H1624" s="8" t="s">
        <v>3973</v>
      </c>
      <c r="I1624" s="8"/>
      <c r="J1624" s="1"/>
      <c r="K1624" s="1" t="s">
        <v>21</v>
      </c>
      <c r="L1624" s="1"/>
      <c r="M1624" s="1"/>
      <c r="N1624" s="1"/>
      <c r="O1624" s="1"/>
      <c r="P1624" s="6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customFormat="false" ht="21.75" hidden="false" customHeight="true" outlineLevel="0" collapsed="false">
      <c r="A1625" s="4" t="n">
        <v>43491</v>
      </c>
      <c r="B1625" s="8" t="s">
        <v>127</v>
      </c>
      <c r="C1625" s="8" t="s">
        <v>26</v>
      </c>
      <c r="D1625" s="8" t="s">
        <v>43</v>
      </c>
      <c r="E1625" s="8" t="s">
        <v>109</v>
      </c>
      <c r="F1625" s="8" t="s">
        <v>3974</v>
      </c>
      <c r="G1625" s="8" t="n">
        <f aca="false">+593969172418</f>
        <v>593969172418</v>
      </c>
      <c r="H1625" s="8" t="s">
        <v>3975</v>
      </c>
      <c r="I1625" s="8"/>
      <c r="J1625" s="1"/>
      <c r="K1625" s="1" t="s">
        <v>21</v>
      </c>
      <c r="L1625" s="1"/>
      <c r="M1625" s="1"/>
      <c r="N1625" s="1"/>
      <c r="O1625" s="1"/>
      <c r="P1625" s="6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customFormat="false" ht="21.75" hidden="false" customHeight="true" outlineLevel="0" collapsed="false">
      <c r="A1626" s="4" t="n">
        <v>43491</v>
      </c>
      <c r="B1626" s="8" t="s">
        <v>1114</v>
      </c>
      <c r="C1626" s="8" t="s">
        <v>15</v>
      </c>
      <c r="D1626" s="8" t="s">
        <v>43</v>
      </c>
      <c r="E1626" s="8" t="s">
        <v>883</v>
      </c>
      <c r="F1626" s="8" t="s">
        <v>3976</v>
      </c>
      <c r="G1626" s="8" t="n">
        <f aca="false">+593987298166</f>
        <v>593987298166</v>
      </c>
      <c r="H1626" s="8" t="s">
        <v>3977</v>
      </c>
      <c r="I1626" s="8"/>
      <c r="J1626" s="1"/>
      <c r="K1626" s="1" t="s">
        <v>1144</v>
      </c>
      <c r="L1626" s="1"/>
      <c r="M1626" s="1"/>
      <c r="N1626" s="1"/>
      <c r="O1626" s="1"/>
      <c r="P1626" s="6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customFormat="false" ht="21.75" hidden="false" customHeight="true" outlineLevel="0" collapsed="false">
      <c r="A1627" s="4" t="n">
        <v>43491</v>
      </c>
      <c r="B1627" s="8" t="s">
        <v>1114</v>
      </c>
      <c r="C1627" s="8" t="s">
        <v>15</v>
      </c>
      <c r="D1627" s="8" t="s">
        <v>43</v>
      </c>
      <c r="E1627" s="8" t="s">
        <v>109</v>
      </c>
      <c r="F1627" s="8" t="s">
        <v>3978</v>
      </c>
      <c r="G1627" s="8" t="n">
        <f aca="false">+593978906888</f>
        <v>593978906888</v>
      </c>
      <c r="H1627" s="8" t="s">
        <v>3979</v>
      </c>
      <c r="I1627" s="8"/>
      <c r="J1627" s="1"/>
      <c r="K1627" s="1" t="s">
        <v>21</v>
      </c>
      <c r="L1627" s="1"/>
      <c r="M1627" s="1"/>
      <c r="N1627" s="1"/>
      <c r="O1627" s="1"/>
      <c r="P1627" s="6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customFormat="false" ht="21.75" hidden="false" customHeight="true" outlineLevel="0" collapsed="false">
      <c r="A1628" s="4" t="n">
        <v>43491</v>
      </c>
      <c r="B1628" s="8" t="s">
        <v>1114</v>
      </c>
      <c r="C1628" s="8" t="s">
        <v>15</v>
      </c>
      <c r="D1628" s="8" t="s">
        <v>43</v>
      </c>
      <c r="E1628" s="8" t="s">
        <v>109</v>
      </c>
      <c r="F1628" s="8" t="s">
        <v>3980</v>
      </c>
      <c r="G1628" s="8" t="n">
        <f aca="false">+5930997721926</f>
        <v>5930997721926</v>
      </c>
      <c r="H1628" s="8" t="s">
        <v>3981</v>
      </c>
      <c r="I1628" s="8"/>
      <c r="J1628" s="1"/>
      <c r="K1628" s="1" t="s">
        <v>21</v>
      </c>
      <c r="L1628" s="1"/>
      <c r="M1628" s="1"/>
      <c r="N1628" s="1"/>
      <c r="O1628" s="1"/>
      <c r="P1628" s="6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customFormat="false" ht="21.75" hidden="false" customHeight="true" outlineLevel="0" collapsed="false">
      <c r="A1629" s="4" t="n">
        <v>43491</v>
      </c>
      <c r="B1629" s="8" t="s">
        <v>1114</v>
      </c>
      <c r="C1629" s="8" t="s">
        <v>15</v>
      </c>
      <c r="D1629" s="8" t="s">
        <v>43</v>
      </c>
      <c r="E1629" s="8" t="s">
        <v>109</v>
      </c>
      <c r="F1629" s="8" t="s">
        <v>3982</v>
      </c>
      <c r="G1629" s="8" t="n">
        <f aca="false">+593969618463</f>
        <v>593969618463</v>
      </c>
      <c r="H1629" s="8" t="s">
        <v>3983</v>
      </c>
      <c r="I1629" s="8"/>
      <c r="J1629" s="1"/>
      <c r="K1629" s="1" t="s">
        <v>21</v>
      </c>
      <c r="L1629" s="1"/>
      <c r="M1629" s="1"/>
      <c r="N1629" s="1"/>
      <c r="O1629" s="1"/>
      <c r="P1629" s="6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customFormat="false" ht="21.75" hidden="false" customHeight="true" outlineLevel="0" collapsed="false">
      <c r="A1630" s="4" t="n">
        <v>43491</v>
      </c>
      <c r="B1630" s="8" t="s">
        <v>1114</v>
      </c>
      <c r="C1630" s="8" t="s">
        <v>15</v>
      </c>
      <c r="D1630" s="8" t="s">
        <v>43</v>
      </c>
      <c r="E1630" s="8" t="s">
        <v>109</v>
      </c>
      <c r="F1630" s="8" t="s">
        <v>3984</v>
      </c>
      <c r="G1630" s="8" t="n">
        <f aca="false">+593990978951</f>
        <v>593990978951</v>
      </c>
      <c r="H1630" s="8" t="s">
        <v>3985</v>
      </c>
      <c r="I1630" s="8"/>
      <c r="J1630" s="1"/>
      <c r="K1630" s="1" t="s">
        <v>21</v>
      </c>
      <c r="L1630" s="1"/>
      <c r="M1630" s="1"/>
      <c r="N1630" s="1"/>
      <c r="O1630" s="1"/>
      <c r="P1630" s="6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customFormat="false" ht="21.75" hidden="false" customHeight="true" outlineLevel="0" collapsed="false">
      <c r="A1631" s="4" t="n">
        <v>43491</v>
      </c>
      <c r="B1631" s="8" t="s">
        <v>1114</v>
      </c>
      <c r="C1631" s="8" t="s">
        <v>15</v>
      </c>
      <c r="D1631" s="8" t="s">
        <v>43</v>
      </c>
      <c r="E1631" s="8" t="s">
        <v>109</v>
      </c>
      <c r="F1631" s="8" t="s">
        <v>3986</v>
      </c>
      <c r="G1631" s="8" t="n">
        <f aca="false">+593985622220</f>
        <v>593985622220</v>
      </c>
      <c r="H1631" s="8" t="s">
        <v>3987</v>
      </c>
      <c r="I1631" s="8"/>
      <c r="J1631" s="1"/>
      <c r="K1631" s="1" t="s">
        <v>21</v>
      </c>
      <c r="L1631" s="1"/>
      <c r="M1631" s="1"/>
      <c r="N1631" s="1"/>
      <c r="O1631" s="1"/>
      <c r="P1631" s="6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customFormat="false" ht="21.75" hidden="false" customHeight="true" outlineLevel="0" collapsed="false">
      <c r="A1632" s="4" t="n">
        <v>43491</v>
      </c>
      <c r="B1632" s="8" t="s">
        <v>1114</v>
      </c>
      <c r="C1632" s="8" t="s">
        <v>15</v>
      </c>
      <c r="D1632" s="8" t="s">
        <v>43</v>
      </c>
      <c r="E1632" s="8" t="s">
        <v>109</v>
      </c>
      <c r="F1632" s="8" t="s">
        <v>3988</v>
      </c>
      <c r="G1632" s="8" t="n">
        <f aca="false">+593983555134</f>
        <v>593983555134</v>
      </c>
      <c r="H1632" s="8" t="s">
        <v>3989</v>
      </c>
      <c r="I1632" s="8"/>
      <c r="J1632" s="1"/>
      <c r="K1632" s="1" t="s">
        <v>21</v>
      </c>
      <c r="L1632" s="1"/>
      <c r="M1632" s="1"/>
      <c r="N1632" s="1"/>
      <c r="O1632" s="1"/>
      <c r="P1632" s="6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customFormat="false" ht="21.75" hidden="false" customHeight="true" outlineLevel="0" collapsed="false">
      <c r="A1633" s="4" t="n">
        <v>43491</v>
      </c>
      <c r="B1633" s="8" t="s">
        <v>1114</v>
      </c>
      <c r="C1633" s="8" t="s">
        <v>15</v>
      </c>
      <c r="D1633" s="8" t="s">
        <v>43</v>
      </c>
      <c r="E1633" s="8" t="s">
        <v>109</v>
      </c>
      <c r="F1633" s="8" t="s">
        <v>3990</v>
      </c>
      <c r="G1633" s="8" t="n">
        <f aca="false">+593993957640</f>
        <v>593993957640</v>
      </c>
      <c r="H1633" s="8" t="s">
        <v>3991</v>
      </c>
      <c r="I1633" s="8"/>
      <c r="J1633" s="1"/>
      <c r="K1633" s="1" t="s">
        <v>21</v>
      </c>
      <c r="L1633" s="1"/>
      <c r="M1633" s="1"/>
      <c r="N1633" s="1"/>
      <c r="O1633" s="1"/>
      <c r="P1633" s="6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customFormat="false" ht="21.75" hidden="false" customHeight="true" outlineLevel="0" collapsed="false">
      <c r="A1634" s="4" t="n">
        <v>43491</v>
      </c>
      <c r="B1634" s="8" t="s">
        <v>1114</v>
      </c>
      <c r="C1634" s="8" t="s">
        <v>15</v>
      </c>
      <c r="D1634" s="8" t="s">
        <v>43</v>
      </c>
      <c r="E1634" s="8" t="s">
        <v>109</v>
      </c>
      <c r="F1634" s="8" t="s">
        <v>3992</v>
      </c>
      <c r="G1634" s="8" t="n">
        <f aca="false">+593991924168</f>
        <v>593991924168</v>
      </c>
      <c r="H1634" s="8" t="s">
        <v>3993</v>
      </c>
      <c r="I1634" s="8"/>
      <c r="J1634" s="1"/>
      <c r="K1634" s="1" t="s">
        <v>1030</v>
      </c>
      <c r="L1634" s="1"/>
      <c r="M1634" s="1"/>
      <c r="N1634" s="1"/>
      <c r="O1634" s="1"/>
      <c r="P1634" s="6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customFormat="false" ht="21.75" hidden="false" customHeight="true" outlineLevel="0" collapsed="false">
      <c r="A1635" s="4" t="n">
        <v>43491</v>
      </c>
      <c r="B1635" s="8" t="s">
        <v>1114</v>
      </c>
      <c r="C1635" s="8" t="s">
        <v>15</v>
      </c>
      <c r="D1635" s="8" t="s">
        <v>43</v>
      </c>
      <c r="E1635" s="8" t="s">
        <v>109</v>
      </c>
      <c r="F1635" s="39" t="s">
        <v>3994</v>
      </c>
      <c r="G1635" s="32" t="n">
        <v>989053645</v>
      </c>
      <c r="H1635" s="32" t="s">
        <v>3995</v>
      </c>
      <c r="I1635" s="32"/>
      <c r="J1635" s="1"/>
      <c r="K1635" s="1" t="s">
        <v>3996</v>
      </c>
      <c r="L1635" s="1"/>
      <c r="M1635" s="1"/>
      <c r="N1635" s="1"/>
      <c r="O1635" s="1"/>
      <c r="P1635" s="6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customFormat="false" ht="21.75" hidden="false" customHeight="true" outlineLevel="0" collapsed="false">
      <c r="A1636" s="4" t="n">
        <v>43491</v>
      </c>
      <c r="B1636" s="8" t="s">
        <v>415</v>
      </c>
      <c r="C1636" s="8" t="s">
        <v>15</v>
      </c>
      <c r="D1636" s="8" t="s">
        <v>43</v>
      </c>
      <c r="E1636" s="8" t="s">
        <v>883</v>
      </c>
      <c r="F1636" s="8" t="s">
        <v>3997</v>
      </c>
      <c r="G1636" s="8" t="n">
        <f aca="false">+593985739154</f>
        <v>593985739154</v>
      </c>
      <c r="H1636" s="8" t="s">
        <v>3998</v>
      </c>
      <c r="I1636" s="8"/>
      <c r="J1636" s="1"/>
      <c r="K1636" s="1" t="s">
        <v>21</v>
      </c>
      <c r="L1636" s="1"/>
      <c r="M1636" s="1"/>
      <c r="N1636" s="1"/>
      <c r="O1636" s="1"/>
      <c r="P1636" s="6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customFormat="false" ht="21.75" hidden="false" customHeight="true" outlineLevel="0" collapsed="false">
      <c r="A1637" s="4" t="n">
        <v>43491</v>
      </c>
      <c r="B1637" s="8" t="s">
        <v>415</v>
      </c>
      <c r="C1637" s="8" t="s">
        <v>15</v>
      </c>
      <c r="D1637" s="8" t="s">
        <v>43</v>
      </c>
      <c r="E1637" s="8" t="s">
        <v>883</v>
      </c>
      <c r="F1637" s="8" t="s">
        <v>3999</v>
      </c>
      <c r="G1637" s="8" t="n">
        <f aca="false">+593988486231</f>
        <v>593988486231</v>
      </c>
      <c r="H1637" s="8" t="s">
        <v>4000</v>
      </c>
      <c r="I1637" s="8"/>
      <c r="J1637" s="1"/>
      <c r="K1637" s="1" t="s">
        <v>165</v>
      </c>
      <c r="L1637" s="1"/>
      <c r="M1637" s="1"/>
      <c r="N1637" s="1"/>
      <c r="O1637" s="1"/>
      <c r="P1637" s="6" t="s">
        <v>3289</v>
      </c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customFormat="false" ht="21.75" hidden="false" customHeight="true" outlineLevel="0" collapsed="false">
      <c r="A1638" s="4" t="n">
        <v>43491</v>
      </c>
      <c r="B1638" s="8" t="s">
        <v>415</v>
      </c>
      <c r="C1638" s="8" t="s">
        <v>15</v>
      </c>
      <c r="D1638" s="8" t="s">
        <v>43</v>
      </c>
      <c r="E1638" s="8" t="s">
        <v>44</v>
      </c>
      <c r="F1638" s="8" t="s">
        <v>4001</v>
      </c>
      <c r="G1638" s="8" t="n">
        <f aca="false">+593999887957</f>
        <v>593999887957</v>
      </c>
      <c r="H1638" s="8" t="s">
        <v>4002</v>
      </c>
      <c r="I1638" s="8"/>
      <c r="J1638" s="1"/>
      <c r="K1638" s="1" t="s">
        <v>21</v>
      </c>
      <c r="L1638" s="1"/>
      <c r="M1638" s="1"/>
      <c r="N1638" s="1"/>
      <c r="O1638" s="1"/>
      <c r="P1638" s="6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customFormat="false" ht="21.75" hidden="false" customHeight="true" outlineLevel="0" collapsed="false">
      <c r="A1639" s="4" t="n">
        <v>43491</v>
      </c>
      <c r="B1639" s="8" t="s">
        <v>415</v>
      </c>
      <c r="C1639" s="8" t="s">
        <v>15</v>
      </c>
      <c r="D1639" s="8" t="s">
        <v>43</v>
      </c>
      <c r="E1639" s="8" t="s">
        <v>44</v>
      </c>
      <c r="F1639" s="8" t="s">
        <v>4003</v>
      </c>
      <c r="G1639" s="8" t="n">
        <f aca="false">+593991631641</f>
        <v>593991631641</v>
      </c>
      <c r="H1639" s="8" t="s">
        <v>4004</v>
      </c>
      <c r="I1639" s="8"/>
      <c r="J1639" s="1"/>
      <c r="K1639" s="1" t="s">
        <v>21</v>
      </c>
      <c r="L1639" s="1"/>
      <c r="M1639" s="1"/>
      <c r="N1639" s="1"/>
      <c r="O1639" s="1"/>
      <c r="P1639" s="6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customFormat="false" ht="21.75" hidden="false" customHeight="true" outlineLevel="0" collapsed="false">
      <c r="A1640" s="4" t="n">
        <v>43491</v>
      </c>
      <c r="B1640" s="8" t="s">
        <v>415</v>
      </c>
      <c r="C1640" s="8" t="s">
        <v>15</v>
      </c>
      <c r="D1640" s="8" t="s">
        <v>43</v>
      </c>
      <c r="E1640" s="8" t="s">
        <v>109</v>
      </c>
      <c r="F1640" s="39" t="s">
        <v>4005</v>
      </c>
      <c r="G1640" s="32" t="n">
        <v>962755397</v>
      </c>
      <c r="H1640" s="32" t="s">
        <v>4006</v>
      </c>
      <c r="I1640" s="32"/>
      <c r="J1640" s="1"/>
      <c r="K1640" s="1" t="s">
        <v>21</v>
      </c>
      <c r="L1640" s="1"/>
      <c r="M1640" s="1"/>
      <c r="N1640" s="1"/>
      <c r="O1640" s="1"/>
      <c r="P1640" s="6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customFormat="false" ht="21.75" hidden="false" customHeight="true" outlineLevel="0" collapsed="false">
      <c r="A1641" s="4" t="n">
        <v>43491</v>
      </c>
      <c r="B1641" s="8" t="s">
        <v>352</v>
      </c>
      <c r="C1641" s="8" t="s">
        <v>15</v>
      </c>
      <c r="D1641" s="8" t="s">
        <v>43</v>
      </c>
      <c r="E1641" s="8" t="s">
        <v>883</v>
      </c>
      <c r="F1641" s="8" t="s">
        <v>4007</v>
      </c>
      <c r="G1641" s="8" t="n">
        <f aca="false">+5930986582734</f>
        <v>5930986582734</v>
      </c>
      <c r="H1641" s="8" t="s">
        <v>4008</v>
      </c>
      <c r="I1641" s="8"/>
      <c r="J1641" s="1"/>
      <c r="K1641" s="1" t="s">
        <v>21</v>
      </c>
      <c r="L1641" s="1"/>
      <c r="M1641" s="1"/>
      <c r="N1641" s="1"/>
      <c r="O1641" s="1"/>
      <c r="P1641" s="6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customFormat="false" ht="21.75" hidden="false" customHeight="true" outlineLevel="0" collapsed="false">
      <c r="A1642" s="4" t="n">
        <v>43491</v>
      </c>
      <c r="B1642" s="8" t="s">
        <v>352</v>
      </c>
      <c r="C1642" s="8" t="s">
        <v>15</v>
      </c>
      <c r="D1642" s="8" t="s">
        <v>43</v>
      </c>
      <c r="E1642" s="8" t="s">
        <v>883</v>
      </c>
      <c r="F1642" s="8" t="s">
        <v>4009</v>
      </c>
      <c r="G1642" s="8" t="n">
        <f aca="false">+593981132927</f>
        <v>593981132927</v>
      </c>
      <c r="H1642" s="8" t="s">
        <v>4010</v>
      </c>
      <c r="I1642" s="8"/>
      <c r="J1642" s="1"/>
      <c r="K1642" s="1" t="s">
        <v>21</v>
      </c>
      <c r="L1642" s="1"/>
      <c r="M1642" s="1"/>
      <c r="N1642" s="1"/>
      <c r="O1642" s="1"/>
      <c r="P1642" s="6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customFormat="false" ht="21.75" hidden="false" customHeight="true" outlineLevel="0" collapsed="false">
      <c r="A1643" s="4" t="n">
        <v>43491</v>
      </c>
      <c r="B1643" s="8" t="s">
        <v>352</v>
      </c>
      <c r="C1643" s="8" t="s">
        <v>15</v>
      </c>
      <c r="D1643" s="8" t="s">
        <v>43</v>
      </c>
      <c r="E1643" s="8" t="s">
        <v>883</v>
      </c>
      <c r="F1643" s="8" t="s">
        <v>4011</v>
      </c>
      <c r="G1643" s="8" t="n">
        <f aca="false">+593959893645</f>
        <v>593959893645</v>
      </c>
      <c r="H1643" s="8" t="s">
        <v>4012</v>
      </c>
      <c r="I1643" s="8"/>
      <c r="J1643" s="1"/>
      <c r="K1643" s="2" t="s">
        <v>4013</v>
      </c>
      <c r="L1643" s="1"/>
      <c r="M1643" s="1"/>
      <c r="N1643" s="1"/>
      <c r="O1643" s="1"/>
      <c r="P1643" s="6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customFormat="false" ht="21.75" hidden="false" customHeight="true" outlineLevel="0" collapsed="false">
      <c r="A1644" s="4" t="n">
        <v>43491</v>
      </c>
      <c r="B1644" s="8" t="s">
        <v>352</v>
      </c>
      <c r="C1644" s="8" t="s">
        <v>15</v>
      </c>
      <c r="D1644" s="8" t="s">
        <v>43</v>
      </c>
      <c r="E1644" s="8" t="s">
        <v>883</v>
      </c>
      <c r="F1644" s="8" t="s">
        <v>4014</v>
      </c>
      <c r="G1644" s="8" t="n">
        <f aca="false">+593996973700</f>
        <v>593996973700</v>
      </c>
      <c r="H1644" s="8" t="s">
        <v>4015</v>
      </c>
      <c r="I1644" s="8"/>
      <c r="J1644" s="1"/>
      <c r="K1644" s="1" t="s">
        <v>21</v>
      </c>
      <c r="L1644" s="1"/>
      <c r="M1644" s="1"/>
      <c r="N1644" s="1"/>
      <c r="O1644" s="1"/>
      <c r="P1644" s="6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customFormat="false" ht="21.75" hidden="false" customHeight="true" outlineLevel="0" collapsed="false">
      <c r="A1645" s="4" t="n">
        <v>43491</v>
      </c>
      <c r="B1645" s="8" t="s">
        <v>352</v>
      </c>
      <c r="C1645" s="8" t="s">
        <v>15</v>
      </c>
      <c r="D1645" s="8" t="s">
        <v>43</v>
      </c>
      <c r="E1645" s="8" t="s">
        <v>883</v>
      </c>
      <c r="F1645" s="8" t="s">
        <v>4016</v>
      </c>
      <c r="G1645" s="8" t="n">
        <f aca="false">+593996404300</f>
        <v>593996404300</v>
      </c>
      <c r="H1645" s="8" t="s">
        <v>4017</v>
      </c>
      <c r="I1645" s="8"/>
      <c r="J1645" s="1"/>
      <c r="K1645" s="1" t="s">
        <v>21</v>
      </c>
      <c r="L1645" s="1"/>
      <c r="M1645" s="1"/>
      <c r="N1645" s="1"/>
      <c r="O1645" s="1"/>
      <c r="P1645" s="6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customFormat="false" ht="21.75" hidden="false" customHeight="true" outlineLevel="0" collapsed="false">
      <c r="A1646" s="4" t="n">
        <v>43491</v>
      </c>
      <c r="B1646" s="8" t="s">
        <v>352</v>
      </c>
      <c r="C1646" s="8" t="s">
        <v>15</v>
      </c>
      <c r="D1646" s="8" t="s">
        <v>43</v>
      </c>
      <c r="E1646" s="8" t="s">
        <v>109</v>
      </c>
      <c r="F1646" s="8" t="s">
        <v>4018</v>
      </c>
      <c r="G1646" s="8" t="n">
        <f aca="false">+593993593409</f>
        <v>593993593409</v>
      </c>
      <c r="H1646" s="8" t="s">
        <v>4019</v>
      </c>
      <c r="I1646" s="8"/>
      <c r="J1646" s="1"/>
      <c r="K1646" s="1" t="s">
        <v>1589</v>
      </c>
      <c r="L1646" s="1"/>
      <c r="M1646" s="1"/>
      <c r="N1646" s="1"/>
      <c r="O1646" s="1"/>
      <c r="P1646" s="6" t="s">
        <v>3289</v>
      </c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customFormat="false" ht="21.75" hidden="false" customHeight="true" outlineLevel="0" collapsed="false">
      <c r="A1647" s="4" t="n">
        <v>43491</v>
      </c>
      <c r="B1647" s="8" t="s">
        <v>352</v>
      </c>
      <c r="C1647" s="8" t="s">
        <v>15</v>
      </c>
      <c r="D1647" s="8" t="s">
        <v>43</v>
      </c>
      <c r="E1647" s="8" t="s">
        <v>109</v>
      </c>
      <c r="F1647" s="8" t="s">
        <v>4020</v>
      </c>
      <c r="G1647" s="8" t="n">
        <f aca="false">+593996534878</f>
        <v>593996534878</v>
      </c>
      <c r="H1647" s="8" t="s">
        <v>4021</v>
      </c>
      <c r="I1647" s="8"/>
      <c r="J1647" s="1"/>
      <c r="K1647" s="1" t="s">
        <v>21</v>
      </c>
      <c r="L1647" s="1"/>
      <c r="M1647" s="1"/>
      <c r="N1647" s="1"/>
      <c r="O1647" s="1"/>
      <c r="P1647" s="6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customFormat="false" ht="21.75" hidden="false" customHeight="true" outlineLevel="0" collapsed="false">
      <c r="A1648" s="4" t="n">
        <v>43491</v>
      </c>
      <c r="B1648" s="8" t="s">
        <v>352</v>
      </c>
      <c r="C1648" s="8" t="s">
        <v>15</v>
      </c>
      <c r="D1648" s="8" t="s">
        <v>43</v>
      </c>
      <c r="E1648" s="8" t="s">
        <v>109</v>
      </c>
      <c r="F1648" s="42" t="s">
        <v>4022</v>
      </c>
      <c r="G1648" s="42"/>
      <c r="H1648" s="32" t="s">
        <v>4023</v>
      </c>
      <c r="I1648" s="32"/>
      <c r="J1648" s="1"/>
      <c r="K1648" s="1" t="s">
        <v>4024</v>
      </c>
      <c r="L1648" s="1"/>
      <c r="M1648" s="1"/>
      <c r="N1648" s="1"/>
      <c r="O1648" s="1"/>
      <c r="P1648" s="6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customFormat="false" ht="21.75" hidden="false" customHeight="true" outlineLevel="0" collapsed="false">
      <c r="A1649" s="4" t="n">
        <v>43491</v>
      </c>
      <c r="B1649" s="8" t="s">
        <v>352</v>
      </c>
      <c r="C1649" s="8" t="s">
        <v>15</v>
      </c>
      <c r="D1649" s="8" t="s">
        <v>43</v>
      </c>
      <c r="E1649" s="8" t="s">
        <v>109</v>
      </c>
      <c r="F1649" s="39" t="s">
        <v>4025</v>
      </c>
      <c r="G1649" s="32" t="n">
        <v>999524151</v>
      </c>
      <c r="H1649" s="32" t="s">
        <v>4026</v>
      </c>
      <c r="I1649" s="32"/>
      <c r="J1649" s="1"/>
      <c r="K1649" s="1" t="s">
        <v>4027</v>
      </c>
      <c r="L1649" s="1"/>
      <c r="M1649" s="1"/>
      <c r="N1649" s="1"/>
      <c r="O1649" s="1"/>
      <c r="P1649" s="6" t="s">
        <v>3289</v>
      </c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customFormat="false" ht="21.75" hidden="false" customHeight="true" outlineLevel="0" collapsed="false">
      <c r="A1650" s="4" t="n">
        <v>43491</v>
      </c>
      <c r="B1650" s="8" t="s">
        <v>352</v>
      </c>
      <c r="C1650" s="8" t="s">
        <v>15</v>
      </c>
      <c r="D1650" s="8" t="s">
        <v>43</v>
      </c>
      <c r="E1650" s="8" t="s">
        <v>109</v>
      </c>
      <c r="F1650" s="39" t="s">
        <v>4028</v>
      </c>
      <c r="G1650" s="32" t="n">
        <v>963007158</v>
      </c>
      <c r="H1650" s="32" t="s">
        <v>4029</v>
      </c>
      <c r="I1650" s="32"/>
      <c r="J1650" s="1"/>
      <c r="K1650" s="1" t="s">
        <v>1003</v>
      </c>
      <c r="L1650" s="1"/>
      <c r="M1650" s="1"/>
      <c r="N1650" s="1"/>
      <c r="O1650" s="1"/>
      <c r="P1650" s="6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customFormat="false" ht="21.75" hidden="false" customHeight="true" outlineLevel="0" collapsed="false">
      <c r="A1651" s="4" t="n">
        <v>43491</v>
      </c>
      <c r="B1651" s="8" t="s">
        <v>178</v>
      </c>
      <c r="C1651" s="8" t="s">
        <v>15</v>
      </c>
      <c r="D1651" s="8" t="s">
        <v>43</v>
      </c>
      <c r="E1651" s="8" t="s">
        <v>44</v>
      </c>
      <c r="F1651" s="8" t="s">
        <v>4030</v>
      </c>
      <c r="G1651" s="8" t="n">
        <f aca="false">+593979141148</f>
        <v>593979141148</v>
      </c>
      <c r="H1651" s="8" t="s">
        <v>4031</v>
      </c>
      <c r="I1651" s="8"/>
      <c r="J1651" s="1"/>
      <c r="K1651" s="1" t="s">
        <v>21</v>
      </c>
      <c r="L1651" s="1"/>
      <c r="M1651" s="1"/>
      <c r="N1651" s="1"/>
      <c r="O1651" s="1"/>
      <c r="P1651" s="6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customFormat="false" ht="21.75" hidden="false" customHeight="true" outlineLevel="0" collapsed="false">
      <c r="A1652" s="4" t="n">
        <v>43491</v>
      </c>
      <c r="B1652" s="8" t="s">
        <v>178</v>
      </c>
      <c r="C1652" s="8" t="s">
        <v>15</v>
      </c>
      <c r="D1652" s="8" t="s">
        <v>43</v>
      </c>
      <c r="E1652" s="8" t="s">
        <v>44</v>
      </c>
      <c r="F1652" s="8" t="s">
        <v>4032</v>
      </c>
      <c r="G1652" s="8" t="n">
        <f aca="false">+593995825864</f>
        <v>593995825864</v>
      </c>
      <c r="H1652" s="8" t="s">
        <v>4033</v>
      </c>
      <c r="I1652" s="8"/>
      <c r="J1652" s="1"/>
      <c r="K1652" s="1" t="s">
        <v>21</v>
      </c>
      <c r="L1652" s="1"/>
      <c r="M1652" s="1"/>
      <c r="N1652" s="1"/>
      <c r="O1652" s="1"/>
      <c r="P1652" s="6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customFormat="false" ht="21.75" hidden="false" customHeight="true" outlineLevel="0" collapsed="false">
      <c r="A1653" s="4" t="n">
        <v>43491</v>
      </c>
      <c r="B1653" s="8" t="s">
        <v>81</v>
      </c>
      <c r="C1653" s="8" t="s">
        <v>15</v>
      </c>
      <c r="D1653" s="8" t="s">
        <v>43</v>
      </c>
      <c r="E1653" s="8" t="s">
        <v>44</v>
      </c>
      <c r="F1653" s="8" t="s">
        <v>4034</v>
      </c>
      <c r="G1653" s="8" t="n">
        <f aca="false">+593959139320</f>
        <v>593959139320</v>
      </c>
      <c r="H1653" s="8" t="s">
        <v>4035</v>
      </c>
      <c r="I1653" s="8"/>
      <c r="J1653" s="1"/>
      <c r="K1653" s="1" t="s">
        <v>21</v>
      </c>
      <c r="L1653" s="1"/>
      <c r="M1653" s="1"/>
      <c r="N1653" s="1"/>
      <c r="O1653" s="1"/>
      <c r="P1653" s="6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customFormat="false" ht="21.75" hidden="false" customHeight="true" outlineLevel="0" collapsed="false">
      <c r="A1654" s="4" t="n">
        <v>43491</v>
      </c>
      <c r="B1654" s="8" t="s">
        <v>81</v>
      </c>
      <c r="C1654" s="8" t="s">
        <v>15</v>
      </c>
      <c r="D1654" s="8" t="s">
        <v>43</v>
      </c>
      <c r="E1654" s="8" t="s">
        <v>44</v>
      </c>
      <c r="F1654" s="8" t="s">
        <v>4036</v>
      </c>
      <c r="G1654" s="8" t="n">
        <f aca="false">+593979603480</f>
        <v>593979603480</v>
      </c>
      <c r="H1654" s="8" t="s">
        <v>4037</v>
      </c>
      <c r="I1654" s="8"/>
      <c r="J1654" s="1"/>
      <c r="K1654" s="1" t="s">
        <v>21</v>
      </c>
      <c r="L1654" s="1"/>
      <c r="M1654" s="1"/>
      <c r="N1654" s="1"/>
      <c r="O1654" s="1"/>
      <c r="P1654" s="6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customFormat="false" ht="21.75" hidden="false" customHeight="true" outlineLevel="0" collapsed="false">
      <c r="A1655" s="4" t="n">
        <v>43491</v>
      </c>
      <c r="B1655" s="8" t="s">
        <v>81</v>
      </c>
      <c r="C1655" s="8" t="s">
        <v>26</v>
      </c>
      <c r="D1655" s="8" t="s">
        <v>43</v>
      </c>
      <c r="E1655" s="8" t="s">
        <v>109</v>
      </c>
      <c r="F1655" s="8" t="s">
        <v>4038</v>
      </c>
      <c r="G1655" s="8" t="n">
        <f aca="false">+5930969861080</f>
        <v>5930969861080</v>
      </c>
      <c r="H1655" s="8" t="s">
        <v>4039</v>
      </c>
      <c r="I1655" s="8"/>
      <c r="J1655" s="1"/>
      <c r="K1655" s="1" t="s">
        <v>21</v>
      </c>
      <c r="L1655" s="1"/>
      <c r="M1655" s="1"/>
      <c r="N1655" s="1"/>
      <c r="O1655" s="1"/>
      <c r="P1655" s="6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customFormat="false" ht="21.75" hidden="false" customHeight="true" outlineLevel="0" collapsed="false">
      <c r="A1656" s="4" t="n">
        <v>43491</v>
      </c>
      <c r="B1656" s="8" t="s">
        <v>81</v>
      </c>
      <c r="C1656" s="8" t="s">
        <v>15</v>
      </c>
      <c r="D1656" s="8" t="s">
        <v>43</v>
      </c>
      <c r="E1656" s="8" t="s">
        <v>109</v>
      </c>
      <c r="F1656" s="39" t="s">
        <v>4040</v>
      </c>
      <c r="G1656" s="32" t="n">
        <v>960630529</v>
      </c>
      <c r="H1656" s="32" t="s">
        <v>4041</v>
      </c>
      <c r="I1656" s="32"/>
      <c r="J1656" s="1"/>
      <c r="K1656" s="1" t="s">
        <v>21</v>
      </c>
      <c r="L1656" s="1"/>
      <c r="M1656" s="1"/>
      <c r="N1656" s="1"/>
      <c r="O1656" s="1"/>
      <c r="P1656" s="6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customFormat="false" ht="21.75" hidden="false" customHeight="true" outlineLevel="0" collapsed="false">
      <c r="A1657" s="4" t="n">
        <v>43491</v>
      </c>
      <c r="B1657" s="8" t="s">
        <v>911</v>
      </c>
      <c r="C1657" s="8" t="s">
        <v>15</v>
      </c>
      <c r="D1657" s="8" t="s">
        <v>16</v>
      </c>
      <c r="E1657" s="8" t="s">
        <v>17</v>
      </c>
      <c r="F1657" s="8" t="s">
        <v>4042</v>
      </c>
      <c r="G1657" s="8" t="n">
        <f aca="false">+593989828326</f>
        <v>593989828326</v>
      </c>
      <c r="H1657" s="8" t="s">
        <v>4043</v>
      </c>
      <c r="I1657" s="8"/>
      <c r="J1657" s="1"/>
      <c r="K1657" s="1" t="s">
        <v>21</v>
      </c>
      <c r="L1657" s="1" t="s">
        <v>3372</v>
      </c>
      <c r="M1657" s="1"/>
      <c r="N1657" s="1"/>
      <c r="O1657" s="1"/>
      <c r="P1657" s="6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customFormat="false" ht="21.75" hidden="false" customHeight="true" outlineLevel="0" collapsed="false">
      <c r="A1658" s="4" t="n">
        <v>43491</v>
      </c>
      <c r="B1658" s="8" t="s">
        <v>86</v>
      </c>
      <c r="C1658" s="8" t="s">
        <v>15</v>
      </c>
      <c r="D1658" s="8" t="s">
        <v>16</v>
      </c>
      <c r="E1658" s="8" t="s">
        <v>17</v>
      </c>
      <c r="F1658" s="8" t="s">
        <v>4044</v>
      </c>
      <c r="G1658" s="8" t="n">
        <f aca="false">+593996390786</f>
        <v>593996390786</v>
      </c>
      <c r="H1658" s="8" t="s">
        <v>4045</v>
      </c>
      <c r="I1658" s="8"/>
      <c r="J1658" s="1"/>
      <c r="K1658" s="1" t="s">
        <v>65</v>
      </c>
      <c r="L1658" s="1" t="s">
        <v>3372</v>
      </c>
      <c r="M1658" s="1"/>
      <c r="N1658" s="1"/>
      <c r="O1658" s="1"/>
      <c r="P1658" s="6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customFormat="false" ht="21.75" hidden="false" customHeight="true" outlineLevel="0" collapsed="false">
      <c r="A1659" s="4" t="n">
        <v>43491</v>
      </c>
      <c r="B1659" s="8" t="s">
        <v>86</v>
      </c>
      <c r="C1659" s="8" t="s">
        <v>15</v>
      </c>
      <c r="D1659" s="8" t="s">
        <v>16</v>
      </c>
      <c r="E1659" s="8" t="s">
        <v>17</v>
      </c>
      <c r="F1659" s="8" t="s">
        <v>4046</v>
      </c>
      <c r="G1659" s="8" t="n">
        <f aca="false">+5930969249594</f>
        <v>5930969249594</v>
      </c>
      <c r="H1659" s="8" t="s">
        <v>4047</v>
      </c>
      <c r="I1659" s="8"/>
      <c r="J1659" s="1"/>
      <c r="K1659" s="1" t="s">
        <v>65</v>
      </c>
      <c r="L1659" s="1" t="s">
        <v>4048</v>
      </c>
      <c r="M1659" s="1"/>
      <c r="N1659" s="1"/>
      <c r="O1659" s="1"/>
      <c r="P1659" s="6" t="s">
        <v>3289</v>
      </c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customFormat="false" ht="21.75" hidden="false" customHeight="true" outlineLevel="0" collapsed="false">
      <c r="A1660" s="4" t="n">
        <v>43491</v>
      </c>
      <c r="B1660" s="8" t="s">
        <v>86</v>
      </c>
      <c r="C1660" s="8" t="s">
        <v>15</v>
      </c>
      <c r="D1660" s="8" t="s">
        <v>16</v>
      </c>
      <c r="E1660" s="8" t="s">
        <v>17</v>
      </c>
      <c r="F1660" s="8" t="s">
        <v>4049</v>
      </c>
      <c r="G1660" s="8" t="n">
        <f aca="false">+593998629839</f>
        <v>593998629839</v>
      </c>
      <c r="H1660" s="8" t="s">
        <v>4050</v>
      </c>
      <c r="I1660" s="8"/>
      <c r="J1660" s="1"/>
      <c r="K1660" s="1" t="s">
        <v>1027</v>
      </c>
      <c r="L1660" s="1"/>
      <c r="M1660" s="1"/>
      <c r="N1660" s="1"/>
      <c r="O1660" s="1"/>
      <c r="P1660" s="6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customFormat="false" ht="21.75" hidden="false" customHeight="true" outlineLevel="0" collapsed="false">
      <c r="A1661" s="4" t="n">
        <v>43491</v>
      </c>
      <c r="B1661" s="8" t="s">
        <v>86</v>
      </c>
      <c r="C1661" s="8" t="s">
        <v>15</v>
      </c>
      <c r="D1661" s="8" t="s">
        <v>16</v>
      </c>
      <c r="E1661" s="8" t="s">
        <v>17</v>
      </c>
      <c r="F1661" s="8" t="s">
        <v>4051</v>
      </c>
      <c r="G1661" s="8" t="n">
        <f aca="false">+593978763388</f>
        <v>593978763388</v>
      </c>
      <c r="H1661" s="8" t="s">
        <v>4052</v>
      </c>
      <c r="I1661" s="8"/>
      <c r="J1661" s="1"/>
      <c r="K1661" s="1" t="s">
        <v>21</v>
      </c>
      <c r="L1661" s="1"/>
      <c r="M1661" s="1"/>
      <c r="N1661" s="1"/>
      <c r="O1661" s="1"/>
      <c r="P1661" s="6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customFormat="false" ht="21.75" hidden="false" customHeight="true" outlineLevel="0" collapsed="false">
      <c r="A1662" s="4" t="n">
        <v>43491</v>
      </c>
      <c r="B1662" s="8" t="s">
        <v>86</v>
      </c>
      <c r="C1662" s="8" t="s">
        <v>15</v>
      </c>
      <c r="D1662" s="8" t="s">
        <v>16</v>
      </c>
      <c r="E1662" s="8" t="s">
        <v>17</v>
      </c>
      <c r="F1662" s="8" t="s">
        <v>4053</v>
      </c>
      <c r="G1662" s="8" t="n">
        <f aca="false">+593986782399</f>
        <v>593986782399</v>
      </c>
      <c r="H1662" s="8" t="s">
        <v>4054</v>
      </c>
      <c r="I1662" s="8"/>
      <c r="J1662" s="1"/>
      <c r="K1662" s="1" t="s">
        <v>21</v>
      </c>
      <c r="L1662" s="43" t="s">
        <v>3509</v>
      </c>
      <c r="M1662" s="1"/>
      <c r="N1662" s="1"/>
      <c r="O1662" s="1"/>
      <c r="P1662" s="6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customFormat="false" ht="21.75" hidden="false" customHeight="true" outlineLevel="0" collapsed="false">
      <c r="A1663" s="4" t="n">
        <v>43491</v>
      </c>
      <c r="B1663" s="8" t="s">
        <v>86</v>
      </c>
      <c r="C1663" s="8" t="s">
        <v>15</v>
      </c>
      <c r="D1663" s="8" t="s">
        <v>16</v>
      </c>
      <c r="E1663" s="8" t="s">
        <v>17</v>
      </c>
      <c r="F1663" s="8" t="s">
        <v>4055</v>
      </c>
      <c r="G1663" s="8" t="n">
        <f aca="false">+593984516711</f>
        <v>593984516711</v>
      </c>
      <c r="H1663" s="8" t="s">
        <v>3842</v>
      </c>
      <c r="I1663" s="8"/>
      <c r="J1663" s="1"/>
      <c r="K1663" s="1" t="s">
        <v>21</v>
      </c>
      <c r="L1663" s="1" t="s">
        <v>4056</v>
      </c>
      <c r="M1663" s="1"/>
      <c r="N1663" s="1"/>
      <c r="O1663" s="1"/>
      <c r="P1663" s="6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customFormat="false" ht="21.75" hidden="false" customHeight="true" outlineLevel="0" collapsed="false">
      <c r="A1664" s="4" t="n">
        <v>43491</v>
      </c>
      <c r="B1664" s="8" t="s">
        <v>86</v>
      </c>
      <c r="C1664" s="8" t="s">
        <v>15</v>
      </c>
      <c r="D1664" s="8" t="s">
        <v>16</v>
      </c>
      <c r="E1664" s="8" t="s">
        <v>17</v>
      </c>
      <c r="F1664" s="39" t="s">
        <v>4057</v>
      </c>
      <c r="G1664" s="32" t="n">
        <v>988968246</v>
      </c>
      <c r="H1664" s="32" t="s">
        <v>4058</v>
      </c>
      <c r="I1664" s="32"/>
      <c r="J1664" s="1"/>
      <c r="K1664" s="1" t="s">
        <v>21</v>
      </c>
      <c r="L1664" s="1" t="s">
        <v>4059</v>
      </c>
      <c r="M1664" s="1"/>
      <c r="N1664" s="1"/>
      <c r="O1664" s="1"/>
      <c r="P1664" s="6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customFormat="false" ht="21.75" hidden="false" customHeight="true" outlineLevel="0" collapsed="false">
      <c r="A1665" s="4" t="n">
        <v>43491</v>
      </c>
      <c r="B1665" s="8" t="s">
        <v>301</v>
      </c>
      <c r="C1665" s="8" t="s">
        <v>15</v>
      </c>
      <c r="D1665" s="8" t="s">
        <v>16</v>
      </c>
      <c r="E1665" s="8" t="s">
        <v>17</v>
      </c>
      <c r="F1665" s="8" t="s">
        <v>4060</v>
      </c>
      <c r="G1665" s="8" t="n">
        <f aca="false">+593986641669</f>
        <v>593986641669</v>
      </c>
      <c r="H1665" s="8" t="s">
        <v>4061</v>
      </c>
      <c r="I1665" s="8"/>
      <c r="J1665" s="1"/>
      <c r="K1665" s="1" t="s">
        <v>4062</v>
      </c>
      <c r="L1665" s="1" t="s">
        <v>3372</v>
      </c>
      <c r="M1665" s="1"/>
      <c r="N1665" s="1"/>
      <c r="O1665" s="1"/>
      <c r="P1665" s="6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customFormat="false" ht="21.75" hidden="false" customHeight="true" outlineLevel="0" collapsed="false">
      <c r="A1666" s="4" t="n">
        <v>43491</v>
      </c>
      <c r="B1666" s="8" t="s">
        <v>301</v>
      </c>
      <c r="C1666" s="8" t="s">
        <v>15</v>
      </c>
      <c r="D1666" s="8" t="s">
        <v>16</v>
      </c>
      <c r="E1666" s="8" t="s">
        <v>17</v>
      </c>
      <c r="F1666" s="8" t="s">
        <v>4063</v>
      </c>
      <c r="G1666" s="8" t="n">
        <f aca="false">+593969796889</f>
        <v>593969796889</v>
      </c>
      <c r="H1666" s="8" t="s">
        <v>4064</v>
      </c>
      <c r="I1666" s="8"/>
      <c r="J1666" s="1"/>
      <c r="K1666" s="1" t="s">
        <v>21</v>
      </c>
      <c r="L1666" s="1" t="s">
        <v>3380</v>
      </c>
      <c r="M1666" s="1"/>
      <c r="N1666" s="1"/>
      <c r="O1666" s="1"/>
      <c r="P1666" s="6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customFormat="false" ht="21.75" hidden="false" customHeight="true" outlineLevel="0" collapsed="false">
      <c r="A1667" s="4" t="n">
        <v>43493</v>
      </c>
      <c r="B1667" s="32" t="s">
        <v>14</v>
      </c>
      <c r="C1667" s="8" t="s">
        <v>15</v>
      </c>
      <c r="D1667" s="8" t="s">
        <v>16</v>
      </c>
      <c r="E1667" s="8" t="s">
        <v>17</v>
      </c>
      <c r="F1667" s="8" t="s">
        <v>4065</v>
      </c>
      <c r="G1667" s="8" t="n">
        <f aca="false">+5930991715230</f>
        <v>5930991715230</v>
      </c>
      <c r="H1667" s="8" t="s">
        <v>4066</v>
      </c>
      <c r="I1667" s="8"/>
      <c r="J1667" s="1"/>
      <c r="K1667" s="1" t="s">
        <v>21</v>
      </c>
      <c r="L1667" s="1" t="s">
        <v>3509</v>
      </c>
      <c r="M1667" s="1"/>
      <c r="N1667" s="1"/>
      <c r="O1667" s="1"/>
      <c r="P1667" s="6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customFormat="false" ht="21.75" hidden="false" customHeight="true" outlineLevel="0" collapsed="false">
      <c r="A1668" s="4" t="n">
        <v>43493</v>
      </c>
      <c r="B1668" s="32" t="s">
        <v>14</v>
      </c>
      <c r="C1668" s="8" t="s">
        <v>15</v>
      </c>
      <c r="D1668" s="8" t="s">
        <v>16</v>
      </c>
      <c r="E1668" s="8" t="s">
        <v>17</v>
      </c>
      <c r="F1668" s="8" t="s">
        <v>4067</v>
      </c>
      <c r="G1668" s="8" t="n">
        <f aca="false">+593980852895</f>
        <v>593980852895</v>
      </c>
      <c r="H1668" s="8" t="s">
        <v>4068</v>
      </c>
      <c r="I1668" s="8"/>
      <c r="J1668" s="1"/>
      <c r="K1668" s="1" t="s">
        <v>4069</v>
      </c>
      <c r="L1668" s="1"/>
      <c r="M1668" s="1"/>
      <c r="N1668" s="1"/>
      <c r="O1668" s="1"/>
      <c r="P1668" s="6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customFormat="false" ht="21.75" hidden="false" customHeight="true" outlineLevel="0" collapsed="false">
      <c r="A1669" s="4" t="n">
        <v>43493</v>
      </c>
      <c r="B1669" s="32" t="s">
        <v>14</v>
      </c>
      <c r="C1669" s="8" t="s">
        <v>15</v>
      </c>
      <c r="D1669" s="8" t="s">
        <v>16</v>
      </c>
      <c r="E1669" s="8" t="s">
        <v>17</v>
      </c>
      <c r="F1669" s="8" t="s">
        <v>4070</v>
      </c>
      <c r="G1669" s="8" t="n">
        <f aca="false">+593992192779</f>
        <v>593992192779</v>
      </c>
      <c r="H1669" s="8" t="s">
        <v>4071</v>
      </c>
      <c r="I1669" s="8"/>
      <c r="J1669" s="1"/>
      <c r="K1669" s="1" t="s">
        <v>4056</v>
      </c>
      <c r="L1669" s="1"/>
      <c r="M1669" s="1"/>
      <c r="N1669" s="1"/>
      <c r="O1669" s="1"/>
      <c r="P1669" s="6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customFormat="false" ht="21.75" hidden="false" customHeight="true" outlineLevel="0" collapsed="false">
      <c r="A1670" s="4" t="n">
        <v>43493</v>
      </c>
      <c r="B1670" s="32" t="s">
        <v>14</v>
      </c>
      <c r="C1670" s="8" t="s">
        <v>15</v>
      </c>
      <c r="D1670" s="8" t="s">
        <v>16</v>
      </c>
      <c r="E1670" s="8" t="s">
        <v>17</v>
      </c>
      <c r="F1670" s="8" t="s">
        <v>4072</v>
      </c>
      <c r="G1670" s="8" t="n">
        <f aca="false">+593981097183</f>
        <v>593981097183</v>
      </c>
      <c r="H1670" s="8" t="s">
        <v>4073</v>
      </c>
      <c r="I1670" s="8"/>
      <c r="J1670" s="1"/>
      <c r="K1670" s="1" t="s">
        <v>4056</v>
      </c>
      <c r="L1670" s="1"/>
      <c r="M1670" s="1"/>
      <c r="N1670" s="1"/>
      <c r="O1670" s="1"/>
      <c r="P1670" s="6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customFormat="false" ht="21.75" hidden="false" customHeight="true" outlineLevel="0" collapsed="false">
      <c r="A1671" s="4" t="n">
        <v>43493</v>
      </c>
      <c r="B1671" s="32" t="s">
        <v>14</v>
      </c>
      <c r="C1671" s="8" t="s">
        <v>15</v>
      </c>
      <c r="D1671" s="8" t="s">
        <v>16</v>
      </c>
      <c r="E1671" s="8" t="s">
        <v>17</v>
      </c>
      <c r="F1671" s="8" t="s">
        <v>4074</v>
      </c>
      <c r="G1671" s="8" t="n">
        <f aca="false">+593998499939</f>
        <v>593998499939</v>
      </c>
      <c r="H1671" s="8" t="s">
        <v>4075</v>
      </c>
      <c r="I1671" s="8"/>
      <c r="J1671" s="1"/>
      <c r="K1671" s="1" t="s">
        <v>4076</v>
      </c>
      <c r="L1671" s="1"/>
      <c r="M1671" s="1"/>
      <c r="N1671" s="1"/>
      <c r="O1671" s="1"/>
      <c r="P1671" s="6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customFormat="false" ht="21.75" hidden="false" customHeight="true" outlineLevel="0" collapsed="false">
      <c r="A1672" s="4" t="n">
        <v>43493</v>
      </c>
      <c r="B1672" s="32" t="s">
        <v>14</v>
      </c>
      <c r="C1672" s="8" t="s">
        <v>15</v>
      </c>
      <c r="D1672" s="8" t="s">
        <v>16</v>
      </c>
      <c r="E1672" s="8" t="s">
        <v>17</v>
      </c>
      <c r="F1672" s="8" t="s">
        <v>4077</v>
      </c>
      <c r="G1672" s="8" t="n">
        <f aca="false">+5930986263837</f>
        <v>5930986263837</v>
      </c>
      <c r="H1672" s="8" t="s">
        <v>4078</v>
      </c>
      <c r="I1672" s="8"/>
      <c r="J1672" s="1"/>
      <c r="K1672" s="1" t="s">
        <v>3518</v>
      </c>
      <c r="L1672" s="1"/>
      <c r="M1672" s="1"/>
      <c r="N1672" s="1"/>
      <c r="O1672" s="1"/>
      <c r="P1672" s="6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customFormat="false" ht="21.75" hidden="false" customHeight="true" outlineLevel="0" collapsed="false">
      <c r="A1673" s="4" t="n">
        <v>43493</v>
      </c>
      <c r="B1673" s="32" t="s">
        <v>14</v>
      </c>
      <c r="C1673" s="8" t="s">
        <v>15</v>
      </c>
      <c r="D1673" s="8" t="s">
        <v>16</v>
      </c>
      <c r="E1673" s="8" t="s">
        <v>17</v>
      </c>
      <c r="F1673" s="8" t="s">
        <v>4079</v>
      </c>
      <c r="G1673" s="8" t="n">
        <f aca="false">+593991038170</f>
        <v>593991038170</v>
      </c>
      <c r="H1673" s="8" t="s">
        <v>4080</v>
      </c>
      <c r="I1673" s="8"/>
      <c r="J1673" s="1"/>
      <c r="K1673" s="1" t="s">
        <v>3380</v>
      </c>
      <c r="L1673" s="1"/>
      <c r="M1673" s="1"/>
      <c r="N1673" s="1"/>
      <c r="O1673" s="1"/>
      <c r="P1673" s="6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customFormat="false" ht="21.75" hidden="false" customHeight="true" outlineLevel="0" collapsed="false">
      <c r="A1674" s="4" t="n">
        <v>43493</v>
      </c>
      <c r="B1674" s="32" t="s">
        <v>14</v>
      </c>
      <c r="C1674" s="8" t="s">
        <v>15</v>
      </c>
      <c r="D1674" s="8" t="s">
        <v>16</v>
      </c>
      <c r="E1674" s="8" t="s">
        <v>17</v>
      </c>
      <c r="F1674" s="8" t="s">
        <v>4081</v>
      </c>
      <c r="G1674" s="8" t="n">
        <f aca="false">+593985295238</f>
        <v>593985295238</v>
      </c>
      <c r="H1674" s="8" t="s">
        <v>4082</v>
      </c>
      <c r="I1674" s="8"/>
      <c r="J1674" s="1"/>
      <c r="K1674" s="1" t="s">
        <v>4056</v>
      </c>
      <c r="L1674" s="1"/>
      <c r="M1674" s="1"/>
      <c r="N1674" s="1"/>
      <c r="O1674" s="1"/>
      <c r="P1674" s="6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customFormat="false" ht="21.75" hidden="false" customHeight="true" outlineLevel="0" collapsed="false">
      <c r="A1675" s="4" t="n">
        <v>43493</v>
      </c>
      <c r="B1675" s="32" t="s">
        <v>14</v>
      </c>
      <c r="C1675" s="8" t="s">
        <v>15</v>
      </c>
      <c r="D1675" s="8" t="s">
        <v>16</v>
      </c>
      <c r="E1675" s="8" t="s">
        <v>17</v>
      </c>
      <c r="F1675" s="8" t="s">
        <v>4083</v>
      </c>
      <c r="G1675" s="8" t="n">
        <f aca="false">+593959023386</f>
        <v>593959023386</v>
      </c>
      <c r="H1675" s="8" t="s">
        <v>4084</v>
      </c>
      <c r="I1675" s="8"/>
      <c r="J1675" s="1"/>
      <c r="K1675" s="1" t="s">
        <v>4069</v>
      </c>
      <c r="L1675" s="1"/>
      <c r="M1675" s="1"/>
      <c r="N1675" s="1"/>
      <c r="O1675" s="1"/>
      <c r="P1675" s="6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customFormat="false" ht="21.75" hidden="false" customHeight="true" outlineLevel="0" collapsed="false">
      <c r="A1676" s="4" t="n">
        <v>43493</v>
      </c>
      <c r="B1676" s="32" t="s">
        <v>14</v>
      </c>
      <c r="C1676" s="8" t="s">
        <v>15</v>
      </c>
      <c r="D1676" s="8" t="s">
        <v>16</v>
      </c>
      <c r="E1676" s="8" t="s">
        <v>17</v>
      </c>
      <c r="F1676" s="8" t="s">
        <v>4085</v>
      </c>
      <c r="G1676" s="8" t="n">
        <f aca="false">+593995042350</f>
        <v>593995042350</v>
      </c>
      <c r="H1676" s="8" t="s">
        <v>4086</v>
      </c>
      <c r="I1676" s="8"/>
      <c r="J1676" s="1"/>
      <c r="K1676" s="1" t="s">
        <v>4056</v>
      </c>
      <c r="L1676" s="1"/>
      <c r="M1676" s="1"/>
      <c r="N1676" s="1"/>
      <c r="O1676" s="1"/>
      <c r="P1676" s="6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customFormat="false" ht="21.75" hidden="false" customHeight="true" outlineLevel="0" collapsed="false">
      <c r="A1677" s="4" t="n">
        <v>43493</v>
      </c>
      <c r="B1677" s="32" t="s">
        <v>14</v>
      </c>
      <c r="C1677" s="8" t="s">
        <v>15</v>
      </c>
      <c r="D1677" s="8" t="s">
        <v>16</v>
      </c>
      <c r="E1677" s="8" t="s">
        <v>17</v>
      </c>
      <c r="F1677" s="8" t="s">
        <v>4087</v>
      </c>
      <c r="G1677" s="8" t="n">
        <f aca="false">+5930981509284</f>
        <v>5930981509284</v>
      </c>
      <c r="H1677" s="8" t="s">
        <v>4088</v>
      </c>
      <c r="I1677" s="8"/>
      <c r="J1677" s="1"/>
      <c r="K1677" s="1" t="s">
        <v>4056</v>
      </c>
      <c r="L1677" s="1"/>
      <c r="M1677" s="1"/>
      <c r="N1677" s="1"/>
      <c r="O1677" s="1"/>
      <c r="P1677" s="6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customFormat="false" ht="21.75" hidden="false" customHeight="true" outlineLevel="0" collapsed="false">
      <c r="A1678" s="4" t="n">
        <v>43493</v>
      </c>
      <c r="B1678" s="32" t="s">
        <v>14</v>
      </c>
      <c r="C1678" s="8" t="s">
        <v>15</v>
      </c>
      <c r="D1678" s="8" t="s">
        <v>16</v>
      </c>
      <c r="E1678" s="8" t="s">
        <v>17</v>
      </c>
      <c r="F1678" s="8" t="s">
        <v>4089</v>
      </c>
      <c r="G1678" s="8" t="n">
        <f aca="false">+5930969265067</f>
        <v>5930969265067</v>
      </c>
      <c r="H1678" s="8" t="s">
        <v>4090</v>
      </c>
      <c r="I1678" s="8"/>
      <c r="J1678" s="1"/>
      <c r="K1678" s="1" t="s">
        <v>4056</v>
      </c>
      <c r="L1678" s="1"/>
      <c r="M1678" s="1"/>
      <c r="N1678" s="1"/>
      <c r="O1678" s="1"/>
      <c r="P1678" s="6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customFormat="false" ht="21.75" hidden="false" customHeight="true" outlineLevel="0" collapsed="false">
      <c r="A1679" s="4" t="n">
        <v>43493</v>
      </c>
      <c r="B1679" s="32" t="s">
        <v>14</v>
      </c>
      <c r="C1679" s="8" t="s">
        <v>15</v>
      </c>
      <c r="D1679" s="8" t="s">
        <v>16</v>
      </c>
      <c r="E1679" s="8" t="s">
        <v>17</v>
      </c>
      <c r="F1679" s="39" t="s">
        <v>4091</v>
      </c>
      <c r="G1679" s="32" t="n">
        <v>939401830</v>
      </c>
      <c r="H1679" s="32" t="s">
        <v>4092</v>
      </c>
      <c r="I1679" s="32"/>
      <c r="J1679" s="1"/>
      <c r="K1679" s="1" t="s">
        <v>4056</v>
      </c>
      <c r="L1679" s="1"/>
      <c r="M1679" s="1"/>
      <c r="N1679" s="1"/>
      <c r="O1679" s="1"/>
      <c r="P1679" s="6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customFormat="false" ht="21.75" hidden="false" customHeight="true" outlineLevel="0" collapsed="false">
      <c r="A1680" s="4" t="n">
        <v>43493</v>
      </c>
      <c r="B1680" s="32" t="s">
        <v>14</v>
      </c>
      <c r="C1680" s="8" t="s">
        <v>15</v>
      </c>
      <c r="D1680" s="8" t="s">
        <v>16</v>
      </c>
      <c r="E1680" s="8" t="s">
        <v>17</v>
      </c>
      <c r="F1680" s="39" t="s">
        <v>4093</v>
      </c>
      <c r="G1680" s="32" t="n">
        <v>959910148</v>
      </c>
      <c r="H1680" s="32" t="s">
        <v>4094</v>
      </c>
      <c r="I1680" s="32"/>
      <c r="J1680" s="1"/>
      <c r="K1680" s="1" t="s">
        <v>4056</v>
      </c>
      <c r="L1680" s="1" t="s">
        <v>3372</v>
      </c>
      <c r="M1680" s="1"/>
      <c r="N1680" s="1"/>
      <c r="O1680" s="1"/>
      <c r="P1680" s="6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customFormat="false" ht="21.75" hidden="false" customHeight="true" outlineLevel="0" collapsed="false">
      <c r="A1681" s="4" t="n">
        <v>43493</v>
      </c>
      <c r="B1681" s="32" t="s">
        <v>14</v>
      </c>
      <c r="C1681" s="8" t="s">
        <v>15</v>
      </c>
      <c r="D1681" s="8" t="s">
        <v>16</v>
      </c>
      <c r="E1681" s="8" t="s">
        <v>17</v>
      </c>
      <c r="F1681" s="39" t="s">
        <v>4095</v>
      </c>
      <c r="G1681" s="32" t="n">
        <v>967349151</v>
      </c>
      <c r="H1681" s="32" t="s">
        <v>4096</v>
      </c>
      <c r="I1681" s="32"/>
      <c r="J1681" s="1"/>
      <c r="K1681" s="1" t="s">
        <v>4056</v>
      </c>
      <c r="L1681" s="1" t="s">
        <v>3372</v>
      </c>
      <c r="M1681" s="1"/>
      <c r="N1681" s="1"/>
      <c r="O1681" s="1"/>
      <c r="P1681" s="6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customFormat="false" ht="21.75" hidden="false" customHeight="true" outlineLevel="0" collapsed="false">
      <c r="A1682" s="4" t="n">
        <v>43493</v>
      </c>
      <c r="B1682" s="8" t="s">
        <v>42</v>
      </c>
      <c r="C1682" s="8" t="s">
        <v>15</v>
      </c>
      <c r="D1682" s="32" t="s">
        <v>43</v>
      </c>
      <c r="E1682" s="8" t="s">
        <v>44</v>
      </c>
      <c r="F1682" s="8" t="s">
        <v>4097</v>
      </c>
      <c r="G1682" s="8" t="n">
        <f aca="false">+593997888979</f>
        <v>593997888979</v>
      </c>
      <c r="H1682" s="8" t="s">
        <v>4098</v>
      </c>
      <c r="I1682" s="8"/>
      <c r="J1682" s="1"/>
      <c r="K1682" s="1" t="s">
        <v>4056</v>
      </c>
      <c r="L1682" s="1"/>
      <c r="M1682" s="1"/>
      <c r="N1682" s="1"/>
      <c r="O1682" s="1"/>
      <c r="P1682" s="6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customFormat="false" ht="21.75" hidden="false" customHeight="true" outlineLevel="0" collapsed="false">
      <c r="A1683" s="4" t="n">
        <v>43493</v>
      </c>
      <c r="B1683" s="8" t="s">
        <v>42</v>
      </c>
      <c r="C1683" s="8" t="s">
        <v>26</v>
      </c>
      <c r="D1683" s="32" t="s">
        <v>43</v>
      </c>
      <c r="E1683" s="8" t="s">
        <v>44</v>
      </c>
      <c r="F1683" s="8" t="s">
        <v>4099</v>
      </c>
      <c r="G1683" s="8" t="n">
        <f aca="false">+5930997955200</f>
        <v>5930997955200</v>
      </c>
      <c r="H1683" s="8" t="s">
        <v>4100</v>
      </c>
      <c r="I1683" s="8"/>
      <c r="J1683" s="1"/>
      <c r="K1683" s="1" t="s">
        <v>4101</v>
      </c>
      <c r="L1683" s="1"/>
      <c r="M1683" s="1"/>
      <c r="N1683" s="1"/>
      <c r="O1683" s="1"/>
      <c r="P1683" s="6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customFormat="false" ht="21.75" hidden="false" customHeight="true" outlineLevel="0" collapsed="false">
      <c r="A1684" s="4" t="n">
        <v>43493</v>
      </c>
      <c r="B1684" s="8" t="s">
        <v>42</v>
      </c>
      <c r="C1684" s="8" t="s">
        <v>15</v>
      </c>
      <c r="D1684" s="32" t="s">
        <v>43</v>
      </c>
      <c r="E1684" s="8" t="s">
        <v>44</v>
      </c>
      <c r="F1684" s="8" t="s">
        <v>3414</v>
      </c>
      <c r="G1684" s="8" t="n">
        <f aca="false">+593992346514</f>
        <v>593992346514</v>
      </c>
      <c r="H1684" s="8" t="s">
        <v>3415</v>
      </c>
      <c r="I1684" s="8"/>
      <c r="J1684" s="1"/>
      <c r="K1684" s="1" t="s">
        <v>4056</v>
      </c>
      <c r="L1684" s="1"/>
      <c r="M1684" s="1"/>
      <c r="N1684" s="1"/>
      <c r="O1684" s="1"/>
      <c r="P1684" s="6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customFormat="false" ht="21.75" hidden="false" customHeight="true" outlineLevel="0" collapsed="false">
      <c r="A1685" s="4" t="n">
        <v>43493</v>
      </c>
      <c r="B1685" s="8" t="s">
        <v>42</v>
      </c>
      <c r="C1685" s="8" t="s">
        <v>26</v>
      </c>
      <c r="D1685" s="32" t="s">
        <v>43</v>
      </c>
      <c r="E1685" s="8" t="s">
        <v>44</v>
      </c>
      <c r="F1685" s="8" t="s">
        <v>4102</v>
      </c>
      <c r="G1685" s="8" t="n">
        <f aca="false">+593990508414</f>
        <v>593990508414</v>
      </c>
      <c r="H1685" s="8" t="s">
        <v>4103</v>
      </c>
      <c r="I1685" s="8"/>
      <c r="J1685" s="1"/>
      <c r="K1685" s="1" t="s">
        <v>4056</v>
      </c>
      <c r="L1685" s="1"/>
      <c r="M1685" s="1"/>
      <c r="N1685" s="1"/>
      <c r="O1685" s="1"/>
      <c r="P1685" s="6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customFormat="false" ht="21.75" hidden="false" customHeight="true" outlineLevel="0" collapsed="false">
      <c r="A1686" s="4" t="n">
        <v>43493</v>
      </c>
      <c r="B1686" s="8" t="s">
        <v>42</v>
      </c>
      <c r="C1686" s="8" t="s">
        <v>15</v>
      </c>
      <c r="D1686" s="32" t="s">
        <v>43</v>
      </c>
      <c r="E1686" s="8" t="s">
        <v>44</v>
      </c>
      <c r="F1686" s="8" t="s">
        <v>4104</v>
      </c>
      <c r="G1686" s="8" t="n">
        <f aca="false">+593986234974</f>
        <v>593986234974</v>
      </c>
      <c r="H1686" s="8" t="s">
        <v>4105</v>
      </c>
      <c r="I1686" s="8"/>
      <c r="J1686" s="1"/>
      <c r="K1686" s="1" t="s">
        <v>4056</v>
      </c>
      <c r="L1686" s="1"/>
      <c r="M1686" s="1"/>
      <c r="N1686" s="1"/>
      <c r="O1686" s="1"/>
      <c r="P1686" s="6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customFormat="false" ht="21.75" hidden="false" customHeight="true" outlineLevel="0" collapsed="false">
      <c r="A1687" s="4" t="n">
        <v>43493</v>
      </c>
      <c r="B1687" s="8" t="s">
        <v>42</v>
      </c>
      <c r="C1687" s="8" t="s">
        <v>15</v>
      </c>
      <c r="D1687" s="32" t="s">
        <v>43</v>
      </c>
      <c r="E1687" s="8" t="s">
        <v>44</v>
      </c>
      <c r="F1687" s="8" t="s">
        <v>3999</v>
      </c>
      <c r="G1687" s="8" t="n">
        <f aca="false">+593988486231</f>
        <v>593988486231</v>
      </c>
      <c r="H1687" s="8" t="s">
        <v>4000</v>
      </c>
      <c r="I1687" s="8"/>
      <c r="J1687" s="1"/>
      <c r="K1687" s="1" t="s">
        <v>4056</v>
      </c>
      <c r="L1687" s="1"/>
      <c r="M1687" s="1"/>
      <c r="N1687" s="1"/>
      <c r="O1687" s="1"/>
      <c r="P1687" s="6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customFormat="false" ht="21.75" hidden="false" customHeight="true" outlineLevel="0" collapsed="false">
      <c r="A1688" s="4" t="n">
        <v>43493</v>
      </c>
      <c r="B1688" s="8" t="s">
        <v>42</v>
      </c>
      <c r="C1688" s="8" t="s">
        <v>15</v>
      </c>
      <c r="D1688" s="32" t="s">
        <v>43</v>
      </c>
      <c r="E1688" s="8" t="s">
        <v>44</v>
      </c>
      <c r="F1688" s="8" t="s">
        <v>4106</v>
      </c>
      <c r="G1688" s="8" t="n">
        <f aca="false">+593979724383</f>
        <v>593979724383</v>
      </c>
      <c r="H1688" s="8" t="s">
        <v>4107</v>
      </c>
      <c r="I1688" s="8"/>
      <c r="J1688" s="1"/>
      <c r="K1688" s="1" t="s">
        <v>4056</v>
      </c>
      <c r="L1688" s="1"/>
      <c r="M1688" s="1"/>
      <c r="N1688" s="1"/>
      <c r="O1688" s="1"/>
      <c r="P1688" s="6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customFormat="false" ht="21.75" hidden="false" customHeight="true" outlineLevel="0" collapsed="false">
      <c r="A1689" s="4" t="n">
        <v>43493</v>
      </c>
      <c r="B1689" s="8" t="s">
        <v>42</v>
      </c>
      <c r="C1689" s="8" t="s">
        <v>15</v>
      </c>
      <c r="D1689" s="32" t="s">
        <v>43</v>
      </c>
      <c r="E1689" s="8" t="s">
        <v>44</v>
      </c>
      <c r="F1689" s="8" t="s">
        <v>4108</v>
      </c>
      <c r="G1689" s="8" t="n">
        <f aca="false">+5930996465997</f>
        <v>5930996465997</v>
      </c>
      <c r="H1689" s="8" t="s">
        <v>4109</v>
      </c>
      <c r="I1689" s="8"/>
      <c r="J1689" s="1"/>
      <c r="K1689" s="1" t="s">
        <v>4056</v>
      </c>
      <c r="L1689" s="1"/>
      <c r="M1689" s="1"/>
      <c r="N1689" s="1"/>
      <c r="O1689" s="1"/>
      <c r="P1689" s="6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customFormat="false" ht="21.75" hidden="false" customHeight="true" outlineLevel="0" collapsed="false">
      <c r="A1690" s="4" t="n">
        <v>43493</v>
      </c>
      <c r="B1690" s="8" t="s">
        <v>42</v>
      </c>
      <c r="C1690" s="8" t="s">
        <v>15</v>
      </c>
      <c r="D1690" s="32" t="s">
        <v>43</v>
      </c>
      <c r="E1690" s="8" t="s">
        <v>109</v>
      </c>
      <c r="F1690" s="8" t="s">
        <v>4110</v>
      </c>
      <c r="G1690" s="8" t="n">
        <f aca="false">+593990197970</f>
        <v>593990197970</v>
      </c>
      <c r="H1690" s="8" t="s">
        <v>4111</v>
      </c>
      <c r="I1690" s="8"/>
      <c r="J1690" s="1"/>
      <c r="K1690" s="1" t="s">
        <v>3509</v>
      </c>
      <c r="L1690" s="1"/>
      <c r="M1690" s="1"/>
      <c r="N1690" s="1"/>
      <c r="O1690" s="1"/>
      <c r="P1690" s="6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customFormat="false" ht="21.75" hidden="false" customHeight="true" outlineLevel="0" collapsed="false">
      <c r="A1691" s="4" t="n">
        <v>43493</v>
      </c>
      <c r="B1691" s="8" t="s">
        <v>42</v>
      </c>
      <c r="C1691" s="8" t="s">
        <v>15</v>
      </c>
      <c r="D1691" s="32" t="s">
        <v>43</v>
      </c>
      <c r="E1691" s="8" t="s">
        <v>109</v>
      </c>
      <c r="F1691" s="8" t="s">
        <v>4112</v>
      </c>
      <c r="G1691" s="8" t="n">
        <f aca="false">+593981291102</f>
        <v>593981291102</v>
      </c>
      <c r="H1691" s="8" t="s">
        <v>4113</v>
      </c>
      <c r="I1691" s="8"/>
      <c r="J1691" s="1"/>
      <c r="K1691" s="1" t="s">
        <v>4056</v>
      </c>
      <c r="L1691" s="1"/>
      <c r="M1691" s="1"/>
      <c r="N1691" s="1"/>
      <c r="O1691" s="1"/>
      <c r="P1691" s="6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customFormat="false" ht="21.75" hidden="false" customHeight="true" outlineLevel="0" collapsed="false">
      <c r="A1692" s="4" t="n">
        <v>43493</v>
      </c>
      <c r="B1692" s="8" t="s">
        <v>42</v>
      </c>
      <c r="C1692" s="8" t="s">
        <v>15</v>
      </c>
      <c r="D1692" s="32" t="s">
        <v>43</v>
      </c>
      <c r="E1692" s="8" t="s">
        <v>109</v>
      </c>
      <c r="F1692" s="8" t="s">
        <v>4114</v>
      </c>
      <c r="G1692" s="8" t="n">
        <f aca="false">+593981170579</f>
        <v>593981170579</v>
      </c>
      <c r="H1692" s="8" t="s">
        <v>4115</v>
      </c>
      <c r="I1692" s="8"/>
      <c r="J1692" s="1"/>
      <c r="K1692" s="1" t="s">
        <v>4056</v>
      </c>
      <c r="L1692" s="1"/>
      <c r="M1692" s="1"/>
      <c r="N1692" s="1"/>
      <c r="O1692" s="1"/>
      <c r="P1692" s="6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customFormat="false" ht="21.75" hidden="false" customHeight="true" outlineLevel="0" collapsed="false">
      <c r="A1693" s="4" t="n">
        <v>43493</v>
      </c>
      <c r="B1693" s="8" t="s">
        <v>42</v>
      </c>
      <c r="C1693" s="8" t="s">
        <v>26</v>
      </c>
      <c r="D1693" s="32" t="s">
        <v>43</v>
      </c>
      <c r="E1693" s="8" t="s">
        <v>109</v>
      </c>
      <c r="F1693" s="8" t="s">
        <v>4116</v>
      </c>
      <c r="G1693" s="8" t="n">
        <f aca="false">+5930988964630</f>
        <v>5930988964630</v>
      </c>
      <c r="H1693" s="8" t="s">
        <v>4117</v>
      </c>
      <c r="I1693" s="8"/>
      <c r="J1693" s="1"/>
      <c r="K1693" s="1" t="s">
        <v>4118</v>
      </c>
      <c r="L1693" s="1"/>
      <c r="M1693" s="1"/>
      <c r="N1693" s="1"/>
      <c r="O1693" s="1"/>
      <c r="P1693" s="6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customFormat="false" ht="21.75" hidden="false" customHeight="true" outlineLevel="0" collapsed="false">
      <c r="A1694" s="4" t="n">
        <v>43493</v>
      </c>
      <c r="B1694" s="8" t="s">
        <v>42</v>
      </c>
      <c r="C1694" s="8" t="s">
        <v>15</v>
      </c>
      <c r="D1694" s="8" t="s">
        <v>43</v>
      </c>
      <c r="E1694" s="8" t="s">
        <v>109</v>
      </c>
      <c r="F1694" s="39" t="s">
        <v>4119</v>
      </c>
      <c r="G1694" s="32" t="n">
        <v>980008025</v>
      </c>
      <c r="H1694" s="32" t="s">
        <v>4120</v>
      </c>
      <c r="I1694" s="32"/>
      <c r="J1694" s="1"/>
      <c r="K1694" s="1" t="s">
        <v>4121</v>
      </c>
      <c r="L1694" s="1" t="s">
        <v>4122</v>
      </c>
      <c r="M1694" s="1"/>
      <c r="N1694" s="1"/>
      <c r="O1694" s="1"/>
      <c r="P1694" s="6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customFormat="false" ht="21.75" hidden="false" customHeight="true" outlineLevel="0" collapsed="false">
      <c r="A1695" s="4" t="n">
        <v>43493</v>
      </c>
      <c r="B1695" s="32" t="s">
        <v>166</v>
      </c>
      <c r="C1695" s="8" t="s">
        <v>15</v>
      </c>
      <c r="D1695" s="8" t="s">
        <v>16</v>
      </c>
      <c r="E1695" s="8" t="s">
        <v>17</v>
      </c>
      <c r="F1695" s="8" t="s">
        <v>4123</v>
      </c>
      <c r="G1695" s="8" t="n">
        <f aca="false">+593990515710</f>
        <v>593990515710</v>
      </c>
      <c r="H1695" s="8" t="s">
        <v>4124</v>
      </c>
      <c r="I1695" s="8"/>
      <c r="J1695" s="1"/>
      <c r="K1695" s="1" t="s">
        <v>3518</v>
      </c>
      <c r="L1695" s="1" t="s">
        <v>3372</v>
      </c>
      <c r="M1695" s="1"/>
      <c r="N1695" s="1"/>
      <c r="O1695" s="1"/>
      <c r="P1695" s="6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customFormat="false" ht="21.75" hidden="false" customHeight="true" outlineLevel="0" collapsed="false">
      <c r="A1696" s="4" t="n">
        <v>43493</v>
      </c>
      <c r="B1696" s="32" t="s">
        <v>166</v>
      </c>
      <c r="C1696" s="8" t="s">
        <v>15</v>
      </c>
      <c r="D1696" s="8" t="s">
        <v>16</v>
      </c>
      <c r="E1696" s="8" t="s">
        <v>17</v>
      </c>
      <c r="F1696" s="8" t="s">
        <v>4125</v>
      </c>
      <c r="G1696" s="8" t="n">
        <f aca="false">+593991059024</f>
        <v>593991059024</v>
      </c>
      <c r="H1696" s="8" t="s">
        <v>4126</v>
      </c>
      <c r="I1696" s="8"/>
      <c r="J1696" s="1"/>
      <c r="K1696" s="1" t="s">
        <v>3518</v>
      </c>
      <c r="L1696" s="1" t="s">
        <v>3372</v>
      </c>
      <c r="M1696" s="1"/>
      <c r="N1696" s="1"/>
      <c r="O1696" s="1"/>
      <c r="P1696" s="6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customFormat="false" ht="21.75" hidden="false" customHeight="true" outlineLevel="0" collapsed="false">
      <c r="A1697" s="4" t="n">
        <v>43493</v>
      </c>
      <c r="B1697" s="32" t="s">
        <v>166</v>
      </c>
      <c r="C1697" s="8" t="s">
        <v>15</v>
      </c>
      <c r="D1697" s="8" t="s">
        <v>16</v>
      </c>
      <c r="E1697" s="8" t="s">
        <v>17</v>
      </c>
      <c r="F1697" s="8" t="s">
        <v>4127</v>
      </c>
      <c r="G1697" s="8" t="n">
        <f aca="false">+593982997915</f>
        <v>593982997915</v>
      </c>
      <c r="H1697" s="8" t="s">
        <v>4128</v>
      </c>
      <c r="I1697" s="8"/>
      <c r="J1697" s="1"/>
      <c r="K1697" s="1" t="s">
        <v>4056</v>
      </c>
      <c r="L1697" s="1" t="s">
        <v>4129</v>
      </c>
      <c r="M1697" s="1"/>
      <c r="N1697" s="1"/>
      <c r="O1697" s="1"/>
      <c r="P1697" s="6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customFormat="false" ht="21.75" hidden="false" customHeight="true" outlineLevel="0" collapsed="false">
      <c r="A1698" s="4" t="n">
        <v>43493</v>
      </c>
      <c r="B1698" s="32" t="s">
        <v>166</v>
      </c>
      <c r="C1698" s="8" t="s">
        <v>15</v>
      </c>
      <c r="D1698" s="8" t="s">
        <v>16</v>
      </c>
      <c r="E1698" s="8" t="s">
        <v>17</v>
      </c>
      <c r="F1698" s="8" t="s">
        <v>4130</v>
      </c>
      <c r="G1698" s="8" t="n">
        <f aca="false">+593990596604</f>
        <v>593990596604</v>
      </c>
      <c r="H1698" s="8" t="s">
        <v>4131</v>
      </c>
      <c r="I1698" s="8"/>
      <c r="J1698" s="1"/>
      <c r="K1698" s="1" t="s">
        <v>3509</v>
      </c>
      <c r="L1698" s="1" t="s">
        <v>4132</v>
      </c>
      <c r="M1698" s="1"/>
      <c r="N1698" s="1"/>
      <c r="O1698" s="1"/>
      <c r="P1698" s="6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customFormat="false" ht="21.75" hidden="false" customHeight="true" outlineLevel="0" collapsed="false">
      <c r="A1699" s="4" t="n">
        <v>43493</v>
      </c>
      <c r="B1699" s="32" t="s">
        <v>166</v>
      </c>
      <c r="C1699" s="8" t="s">
        <v>15</v>
      </c>
      <c r="D1699" s="8" t="s">
        <v>16</v>
      </c>
      <c r="E1699" s="8" t="s">
        <v>17</v>
      </c>
      <c r="F1699" s="8" t="s">
        <v>4133</v>
      </c>
      <c r="G1699" s="8" t="n">
        <f aca="false">+5930968945424</f>
        <v>5930968945424</v>
      </c>
      <c r="H1699" s="8" t="s">
        <v>4134</v>
      </c>
      <c r="I1699" s="8"/>
      <c r="J1699" s="1"/>
      <c r="K1699" s="1" t="s">
        <v>3413</v>
      </c>
      <c r="L1699" s="1"/>
      <c r="M1699" s="1"/>
      <c r="N1699" s="1"/>
      <c r="O1699" s="1"/>
      <c r="P1699" s="6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customFormat="false" ht="21.75" hidden="false" customHeight="true" outlineLevel="0" collapsed="false">
      <c r="A1700" s="4" t="n">
        <v>43493</v>
      </c>
      <c r="B1700" s="32" t="s">
        <v>166</v>
      </c>
      <c r="C1700" s="8" t="s">
        <v>15</v>
      </c>
      <c r="D1700" s="8" t="s">
        <v>16</v>
      </c>
      <c r="E1700" s="8" t="s">
        <v>17</v>
      </c>
      <c r="F1700" s="8" t="s">
        <v>4135</v>
      </c>
      <c r="G1700" s="8" t="n">
        <f aca="false">+593988833122</f>
        <v>593988833122</v>
      </c>
      <c r="H1700" s="8" t="s">
        <v>4136</v>
      </c>
      <c r="I1700" s="8"/>
      <c r="J1700" s="1"/>
      <c r="K1700" s="1" t="s">
        <v>3443</v>
      </c>
      <c r="L1700" s="1" t="s">
        <v>3372</v>
      </c>
      <c r="M1700" s="1"/>
      <c r="N1700" s="1"/>
      <c r="O1700" s="1"/>
      <c r="P1700" s="6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customFormat="false" ht="21.75" hidden="false" customHeight="true" outlineLevel="0" collapsed="false">
      <c r="A1701" s="4" t="n">
        <v>43493</v>
      </c>
      <c r="B1701" s="32" t="s">
        <v>166</v>
      </c>
      <c r="C1701" s="8" t="s">
        <v>15</v>
      </c>
      <c r="D1701" s="8" t="s">
        <v>16</v>
      </c>
      <c r="E1701" s="8" t="s">
        <v>17</v>
      </c>
      <c r="F1701" s="8" t="s">
        <v>4137</v>
      </c>
      <c r="G1701" s="8" t="n">
        <f aca="false">+593968347668</f>
        <v>593968347668</v>
      </c>
      <c r="H1701" s="8" t="s">
        <v>4138</v>
      </c>
      <c r="I1701" s="8"/>
      <c r="J1701" s="1"/>
      <c r="K1701" s="1" t="s">
        <v>3380</v>
      </c>
      <c r="L1701" s="1" t="s">
        <v>3372</v>
      </c>
      <c r="M1701" s="1"/>
      <c r="N1701" s="1"/>
      <c r="O1701" s="1"/>
      <c r="P1701" s="6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customFormat="false" ht="21.75" hidden="false" customHeight="true" outlineLevel="0" collapsed="false">
      <c r="A1702" s="4" t="n">
        <v>43493</v>
      </c>
      <c r="B1702" s="32" t="s">
        <v>166</v>
      </c>
      <c r="C1702" s="8" t="s">
        <v>15</v>
      </c>
      <c r="D1702" s="8" t="s">
        <v>16</v>
      </c>
      <c r="E1702" s="8" t="s">
        <v>17</v>
      </c>
      <c r="F1702" s="8" t="s">
        <v>4139</v>
      </c>
      <c r="G1702" s="8" t="n">
        <f aca="false">+5930985975081</f>
        <v>5930985975081</v>
      </c>
      <c r="H1702" s="8" t="s">
        <v>4140</v>
      </c>
      <c r="I1702" s="8"/>
      <c r="J1702" s="1"/>
      <c r="K1702" s="1" t="s">
        <v>4056</v>
      </c>
      <c r="L1702" s="1" t="s">
        <v>3623</v>
      </c>
      <c r="M1702" s="1"/>
      <c r="N1702" s="1"/>
      <c r="O1702" s="1"/>
      <c r="P1702" s="6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customFormat="false" ht="21.75" hidden="false" customHeight="true" outlineLevel="0" collapsed="false">
      <c r="A1703" s="4" t="n">
        <v>43493</v>
      </c>
      <c r="B1703" s="32" t="s">
        <v>166</v>
      </c>
      <c r="C1703" s="8" t="s">
        <v>15</v>
      </c>
      <c r="D1703" s="8" t="s">
        <v>16</v>
      </c>
      <c r="E1703" s="8" t="s">
        <v>17</v>
      </c>
      <c r="F1703" s="8" t="s">
        <v>4141</v>
      </c>
      <c r="G1703" s="8" t="n">
        <f aca="false">+593997822232</f>
        <v>593997822232</v>
      </c>
      <c r="H1703" s="8" t="s">
        <v>4142</v>
      </c>
      <c r="I1703" s="8"/>
      <c r="J1703" s="1"/>
      <c r="K1703" s="1" t="s">
        <v>4056</v>
      </c>
      <c r="L1703" s="1" t="s">
        <v>3372</v>
      </c>
      <c r="M1703" s="1"/>
      <c r="N1703" s="1"/>
      <c r="O1703" s="1"/>
      <c r="P1703" s="6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customFormat="false" ht="21.75" hidden="false" customHeight="true" outlineLevel="0" collapsed="false">
      <c r="A1704" s="4" t="n">
        <v>43493</v>
      </c>
      <c r="B1704" s="32" t="s">
        <v>166</v>
      </c>
      <c r="C1704" s="8" t="s">
        <v>15</v>
      </c>
      <c r="D1704" s="8" t="s">
        <v>16</v>
      </c>
      <c r="E1704" s="8" t="s">
        <v>17</v>
      </c>
      <c r="F1704" s="39" t="s">
        <v>4143</v>
      </c>
      <c r="G1704" s="32" t="n">
        <v>959036678</v>
      </c>
      <c r="H1704" s="32" t="s">
        <v>4144</v>
      </c>
      <c r="I1704" s="32"/>
      <c r="J1704" s="1"/>
      <c r="K1704" s="1" t="s">
        <v>3509</v>
      </c>
      <c r="L1704" s="1" t="s">
        <v>3372</v>
      </c>
      <c r="M1704" s="1"/>
      <c r="N1704" s="1"/>
      <c r="O1704" s="1"/>
      <c r="P1704" s="6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customFormat="false" ht="21.75" hidden="false" customHeight="true" outlineLevel="0" collapsed="false">
      <c r="A1705" s="4" t="n">
        <v>43493</v>
      </c>
      <c r="B1705" s="32" t="s">
        <v>166</v>
      </c>
      <c r="C1705" s="8" t="s">
        <v>15</v>
      </c>
      <c r="D1705" s="8" t="s">
        <v>16</v>
      </c>
      <c r="E1705" s="8" t="s">
        <v>17</v>
      </c>
      <c r="F1705" s="39" t="s">
        <v>4145</v>
      </c>
      <c r="G1705" s="32" t="n">
        <v>988596435</v>
      </c>
      <c r="H1705" s="32" t="s">
        <v>4146</v>
      </c>
      <c r="I1705" s="32"/>
      <c r="J1705" s="1"/>
      <c r="K1705" s="1" t="s">
        <v>3372</v>
      </c>
      <c r="L1705" s="1" t="s">
        <v>4147</v>
      </c>
      <c r="M1705" s="1" t="s">
        <v>4148</v>
      </c>
      <c r="N1705" s="1"/>
      <c r="O1705" s="1"/>
      <c r="P1705" s="6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customFormat="false" ht="21.75" hidden="false" customHeight="true" outlineLevel="0" collapsed="false">
      <c r="A1706" s="4" t="n">
        <v>43493</v>
      </c>
      <c r="B1706" s="8" t="s">
        <v>323</v>
      </c>
      <c r="C1706" s="8" t="s">
        <v>26</v>
      </c>
      <c r="D1706" s="32" t="s">
        <v>43</v>
      </c>
      <c r="E1706" s="8" t="s">
        <v>109</v>
      </c>
      <c r="F1706" s="8" t="s">
        <v>4149</v>
      </c>
      <c r="G1706" s="8" t="n">
        <f aca="false">+593982024782</f>
        <v>593982024782</v>
      </c>
      <c r="H1706" s="8" t="s">
        <v>4150</v>
      </c>
      <c r="I1706" s="8"/>
      <c r="J1706" s="1"/>
      <c r="K1706" s="1" t="s">
        <v>21</v>
      </c>
      <c r="L1706" s="1"/>
      <c r="M1706" s="1"/>
      <c r="N1706" s="1"/>
      <c r="O1706" s="1"/>
      <c r="P1706" s="6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customFormat="false" ht="21.75" hidden="false" customHeight="true" outlineLevel="0" collapsed="false">
      <c r="A1707" s="4" t="n">
        <v>43493</v>
      </c>
      <c r="B1707" s="8" t="s">
        <v>323</v>
      </c>
      <c r="C1707" s="8" t="s">
        <v>15</v>
      </c>
      <c r="D1707" s="32" t="s">
        <v>43</v>
      </c>
      <c r="E1707" s="8" t="s">
        <v>109</v>
      </c>
      <c r="F1707" s="8" t="s">
        <v>4151</v>
      </c>
      <c r="G1707" s="8" t="n">
        <f aca="false">+593983815746</f>
        <v>593983815746</v>
      </c>
      <c r="H1707" s="8" t="s">
        <v>4152</v>
      </c>
      <c r="I1707" s="8"/>
      <c r="J1707" s="1"/>
      <c r="K1707" s="1" t="s">
        <v>21</v>
      </c>
      <c r="L1707" s="1"/>
      <c r="M1707" s="1"/>
      <c r="N1707" s="1"/>
      <c r="O1707" s="1"/>
      <c r="P1707" s="6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customFormat="false" ht="21.75" hidden="false" customHeight="true" outlineLevel="0" collapsed="false">
      <c r="A1708" s="4" t="n">
        <v>43493</v>
      </c>
      <c r="B1708" s="8" t="s">
        <v>323</v>
      </c>
      <c r="C1708" s="8" t="s">
        <v>15</v>
      </c>
      <c r="D1708" s="32" t="s">
        <v>43</v>
      </c>
      <c r="E1708" s="8" t="s">
        <v>109</v>
      </c>
      <c r="F1708" s="8" t="s">
        <v>4153</v>
      </c>
      <c r="G1708" s="8" t="n">
        <f aca="false">+593996823275</f>
        <v>593996823275</v>
      </c>
      <c r="H1708" s="8" t="s">
        <v>4154</v>
      </c>
      <c r="I1708" s="8"/>
      <c r="J1708" s="1"/>
      <c r="K1708" s="1" t="s">
        <v>21</v>
      </c>
      <c r="L1708" s="1"/>
      <c r="M1708" s="1"/>
      <c r="N1708" s="1"/>
      <c r="O1708" s="1"/>
      <c r="P1708" s="6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customFormat="false" ht="21.75" hidden="false" customHeight="true" outlineLevel="0" collapsed="false">
      <c r="A1709" s="4" t="n">
        <v>43493</v>
      </c>
      <c r="B1709" s="32" t="s">
        <v>323</v>
      </c>
      <c r="C1709" s="8" t="s">
        <v>15</v>
      </c>
      <c r="D1709" s="8" t="s">
        <v>43</v>
      </c>
      <c r="E1709" s="8" t="s">
        <v>109</v>
      </c>
      <c r="F1709" s="39" t="s">
        <v>4155</v>
      </c>
      <c r="G1709" s="32" t="n">
        <v>968368937</v>
      </c>
      <c r="H1709" s="32" t="s">
        <v>4156</v>
      </c>
      <c r="I1709" s="32"/>
      <c r="J1709" s="1"/>
      <c r="K1709" s="1" t="s">
        <v>4157</v>
      </c>
      <c r="L1709" s="1"/>
      <c r="M1709" s="1"/>
      <c r="N1709" s="1"/>
      <c r="O1709" s="1"/>
      <c r="P1709" s="6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customFormat="false" ht="21.75" hidden="false" customHeight="true" outlineLevel="0" collapsed="false">
      <c r="A1710" s="4" t="n">
        <v>43493</v>
      </c>
      <c r="B1710" s="32" t="s">
        <v>323</v>
      </c>
      <c r="C1710" s="8" t="s">
        <v>15</v>
      </c>
      <c r="D1710" s="8" t="s">
        <v>43</v>
      </c>
      <c r="E1710" s="8" t="s">
        <v>109</v>
      </c>
      <c r="F1710" s="39" t="s">
        <v>4158</v>
      </c>
      <c r="G1710" s="32" t="n">
        <v>961430192</v>
      </c>
      <c r="H1710" s="40" t="s">
        <v>4159</v>
      </c>
      <c r="I1710" s="40"/>
      <c r="J1710" s="1"/>
      <c r="K1710" s="1" t="s">
        <v>21</v>
      </c>
      <c r="L1710" s="1"/>
      <c r="M1710" s="1"/>
      <c r="N1710" s="1"/>
      <c r="O1710" s="1"/>
      <c r="P1710" s="6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customFormat="false" ht="21.75" hidden="false" customHeight="true" outlineLevel="0" collapsed="false">
      <c r="A1711" s="4" t="n">
        <v>43493</v>
      </c>
      <c r="B1711" s="32" t="s">
        <v>323</v>
      </c>
      <c r="C1711" s="8" t="s">
        <v>15</v>
      </c>
      <c r="D1711" s="8" t="s">
        <v>43</v>
      </c>
      <c r="E1711" s="8" t="s">
        <v>109</v>
      </c>
      <c r="F1711" s="39" t="s">
        <v>4160</v>
      </c>
      <c r="G1711" s="32" t="n">
        <v>984239136</v>
      </c>
      <c r="H1711" s="40" t="s">
        <v>4161</v>
      </c>
      <c r="I1711" s="40"/>
      <c r="J1711" s="1"/>
      <c r="K1711" s="1" t="s">
        <v>21</v>
      </c>
      <c r="L1711" s="1"/>
      <c r="M1711" s="1"/>
      <c r="N1711" s="1"/>
      <c r="O1711" s="1"/>
      <c r="P1711" s="6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customFormat="false" ht="21.75" hidden="false" customHeight="true" outlineLevel="0" collapsed="false">
      <c r="A1712" s="4" t="n">
        <v>43493</v>
      </c>
      <c r="B1712" s="8" t="s">
        <v>1106</v>
      </c>
      <c r="C1712" s="8" t="s">
        <v>15</v>
      </c>
      <c r="D1712" s="32" t="s">
        <v>43</v>
      </c>
      <c r="E1712" s="8" t="s">
        <v>109</v>
      </c>
      <c r="F1712" s="8" t="s">
        <v>4162</v>
      </c>
      <c r="G1712" s="8" t="n">
        <f aca="false">+593982785600</f>
        <v>593982785600</v>
      </c>
      <c r="H1712" s="8" t="s">
        <v>4163</v>
      </c>
      <c r="I1712" s="8"/>
      <c r="J1712" s="1"/>
      <c r="K1712" s="1" t="s">
        <v>21</v>
      </c>
      <c r="L1712" s="1"/>
      <c r="M1712" s="1"/>
      <c r="N1712" s="1"/>
      <c r="O1712" s="1"/>
      <c r="P1712" s="6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customFormat="false" ht="21.75" hidden="false" customHeight="true" outlineLevel="0" collapsed="false">
      <c r="A1713" s="4" t="n">
        <v>43493</v>
      </c>
      <c r="B1713" s="8" t="s">
        <v>1106</v>
      </c>
      <c r="C1713" s="8" t="s">
        <v>26</v>
      </c>
      <c r="D1713" s="32" t="s">
        <v>43</v>
      </c>
      <c r="E1713" s="8" t="s">
        <v>109</v>
      </c>
      <c r="F1713" s="8" t="s">
        <v>4164</v>
      </c>
      <c r="G1713" s="8" t="n">
        <f aca="false">+5930959800779</f>
        <v>5930959800779</v>
      </c>
      <c r="H1713" s="8" t="s">
        <v>4165</v>
      </c>
      <c r="I1713" s="8"/>
      <c r="J1713" s="1"/>
      <c r="K1713" s="1" t="s">
        <v>21</v>
      </c>
      <c r="L1713" s="1"/>
      <c r="M1713" s="1"/>
      <c r="N1713" s="1"/>
      <c r="O1713" s="1"/>
      <c r="P1713" s="6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customFormat="false" ht="21.75" hidden="false" customHeight="true" outlineLevel="0" collapsed="false">
      <c r="A1714" s="4" t="n">
        <v>43493</v>
      </c>
      <c r="B1714" s="8" t="s">
        <v>1106</v>
      </c>
      <c r="C1714" s="8" t="s">
        <v>15</v>
      </c>
      <c r="D1714" s="32" t="s">
        <v>43</v>
      </c>
      <c r="E1714" s="8" t="s">
        <v>109</v>
      </c>
      <c r="F1714" s="8" t="s">
        <v>4166</v>
      </c>
      <c r="G1714" s="8" t="n">
        <f aca="false">+593969193196</f>
        <v>593969193196</v>
      </c>
      <c r="H1714" s="8" t="s">
        <v>4167</v>
      </c>
      <c r="I1714" s="8"/>
      <c r="J1714" s="1"/>
      <c r="K1714" s="1" t="s">
        <v>21</v>
      </c>
      <c r="L1714" s="1"/>
      <c r="M1714" s="1"/>
      <c r="N1714" s="1"/>
      <c r="O1714" s="1"/>
      <c r="P1714" s="6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customFormat="false" ht="21.75" hidden="false" customHeight="true" outlineLevel="0" collapsed="false">
      <c r="A1715" s="4" t="n">
        <v>43493</v>
      </c>
      <c r="B1715" s="8" t="s">
        <v>1106</v>
      </c>
      <c r="C1715" s="8" t="s">
        <v>15</v>
      </c>
      <c r="D1715" s="32" t="s">
        <v>43</v>
      </c>
      <c r="E1715" s="8" t="s">
        <v>109</v>
      </c>
      <c r="F1715" s="8" t="s">
        <v>4168</v>
      </c>
      <c r="G1715" s="8" t="n">
        <f aca="false">+593994992534</f>
        <v>593994992534</v>
      </c>
      <c r="H1715" s="8" t="s">
        <v>4169</v>
      </c>
      <c r="I1715" s="8"/>
      <c r="J1715" s="1"/>
      <c r="K1715" s="1" t="s">
        <v>21</v>
      </c>
      <c r="L1715" s="1"/>
      <c r="M1715" s="1"/>
      <c r="N1715" s="1"/>
      <c r="O1715" s="1"/>
      <c r="P1715" s="6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customFormat="false" ht="21.75" hidden="false" customHeight="true" outlineLevel="0" collapsed="false">
      <c r="A1716" s="4" t="n">
        <v>43493</v>
      </c>
      <c r="B1716" s="8" t="s">
        <v>1106</v>
      </c>
      <c r="C1716" s="8" t="s">
        <v>15</v>
      </c>
      <c r="D1716" s="32" t="s">
        <v>43</v>
      </c>
      <c r="E1716" s="8" t="s">
        <v>109</v>
      </c>
      <c r="F1716" s="8" t="s">
        <v>4170</v>
      </c>
      <c r="G1716" s="8" t="n">
        <f aca="false">+593988862562</f>
        <v>593988862562</v>
      </c>
      <c r="H1716" s="8" t="s">
        <v>4171</v>
      </c>
      <c r="I1716" s="8"/>
      <c r="J1716" s="1"/>
      <c r="K1716" s="1" t="s">
        <v>4172</v>
      </c>
      <c r="L1716" s="1"/>
      <c r="M1716" s="1"/>
      <c r="N1716" s="1"/>
      <c r="O1716" s="1"/>
      <c r="P1716" s="6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customFormat="false" ht="21.75" hidden="false" customHeight="true" outlineLevel="0" collapsed="false">
      <c r="A1717" s="4" t="n">
        <v>43493</v>
      </c>
      <c r="B1717" s="8" t="s">
        <v>1831</v>
      </c>
      <c r="C1717" s="8" t="s">
        <v>15</v>
      </c>
      <c r="D1717" s="32" t="s">
        <v>43</v>
      </c>
      <c r="E1717" s="8" t="s">
        <v>109</v>
      </c>
      <c r="F1717" s="8" t="s">
        <v>4173</v>
      </c>
      <c r="G1717" s="8" t="n">
        <f aca="false">+593959732314</f>
        <v>593959732314</v>
      </c>
      <c r="H1717" s="8" t="s">
        <v>4174</v>
      </c>
      <c r="I1717" s="8"/>
      <c r="J1717" s="1"/>
      <c r="K1717" s="1" t="s">
        <v>21</v>
      </c>
      <c r="L1717" s="1"/>
      <c r="M1717" s="1"/>
      <c r="N1717" s="1"/>
      <c r="O1717" s="1"/>
      <c r="P1717" s="6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customFormat="false" ht="21.75" hidden="false" customHeight="true" outlineLevel="0" collapsed="false">
      <c r="A1718" s="4" t="n">
        <v>43493</v>
      </c>
      <c r="B1718" s="8" t="s">
        <v>1831</v>
      </c>
      <c r="C1718" s="8" t="s">
        <v>15</v>
      </c>
      <c r="D1718" s="32" t="s">
        <v>43</v>
      </c>
      <c r="E1718" s="8" t="s">
        <v>109</v>
      </c>
      <c r="F1718" s="8" t="s">
        <v>4175</v>
      </c>
      <c r="G1718" s="8" t="n">
        <f aca="false">+5930959847597</f>
        <v>5930959847597</v>
      </c>
      <c r="H1718" s="8" t="s">
        <v>4176</v>
      </c>
      <c r="I1718" s="8"/>
      <c r="J1718" s="1"/>
      <c r="K1718" s="1" t="s">
        <v>21</v>
      </c>
      <c r="L1718" s="1"/>
      <c r="M1718" s="1"/>
      <c r="N1718" s="1"/>
      <c r="O1718" s="1"/>
      <c r="P1718" s="6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customFormat="false" ht="21.75" hidden="false" customHeight="true" outlineLevel="0" collapsed="false">
      <c r="A1719" s="4" t="n">
        <v>43493</v>
      </c>
      <c r="B1719" s="8" t="s">
        <v>1831</v>
      </c>
      <c r="C1719" s="8" t="s">
        <v>15</v>
      </c>
      <c r="D1719" s="32" t="s">
        <v>43</v>
      </c>
      <c r="E1719" s="8" t="s">
        <v>109</v>
      </c>
      <c r="F1719" s="8" t="s">
        <v>4177</v>
      </c>
      <c r="G1719" s="8" t="n">
        <f aca="false">+5930988946783</f>
        <v>5930988946783</v>
      </c>
      <c r="H1719" s="8" t="s">
        <v>4178</v>
      </c>
      <c r="I1719" s="8"/>
      <c r="J1719" s="1"/>
      <c r="K1719" s="1" t="s">
        <v>21</v>
      </c>
      <c r="L1719" s="1"/>
      <c r="M1719" s="1"/>
      <c r="N1719" s="1"/>
      <c r="O1719" s="1"/>
      <c r="P1719" s="6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customFormat="false" ht="21.75" hidden="false" customHeight="true" outlineLevel="0" collapsed="false">
      <c r="A1720" s="4" t="n">
        <v>43493</v>
      </c>
      <c r="B1720" s="8" t="s">
        <v>1478</v>
      </c>
      <c r="C1720" s="8" t="s">
        <v>15</v>
      </c>
      <c r="D1720" s="32" t="s">
        <v>43</v>
      </c>
      <c r="E1720" s="8" t="s">
        <v>109</v>
      </c>
      <c r="F1720" s="8" t="s">
        <v>4179</v>
      </c>
      <c r="G1720" s="8" t="n">
        <f aca="false">+5930989907714</f>
        <v>5930989907714</v>
      </c>
      <c r="H1720" s="8" t="s">
        <v>4180</v>
      </c>
      <c r="I1720" s="8"/>
      <c r="J1720" s="1"/>
      <c r="K1720" s="1" t="s">
        <v>21</v>
      </c>
      <c r="L1720" s="1"/>
      <c r="M1720" s="1"/>
      <c r="N1720" s="1"/>
      <c r="O1720" s="1"/>
      <c r="P1720" s="6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customFormat="false" ht="21.75" hidden="false" customHeight="true" outlineLevel="0" collapsed="false">
      <c r="A1721" s="4" t="n">
        <v>43493</v>
      </c>
      <c r="B1721" s="8" t="s">
        <v>1478</v>
      </c>
      <c r="C1721" s="8" t="s">
        <v>15</v>
      </c>
      <c r="D1721" s="32" t="s">
        <v>43</v>
      </c>
      <c r="E1721" s="8" t="s">
        <v>109</v>
      </c>
      <c r="F1721" s="8" t="s">
        <v>4181</v>
      </c>
      <c r="G1721" s="8" t="n">
        <f aca="false">+5930998164272</f>
        <v>5930998164272</v>
      </c>
      <c r="H1721" s="8" t="s">
        <v>4182</v>
      </c>
      <c r="I1721" s="8"/>
      <c r="J1721" s="1"/>
      <c r="K1721" s="1" t="s">
        <v>4183</v>
      </c>
      <c r="L1721" s="1"/>
      <c r="M1721" s="1"/>
      <c r="N1721" s="1"/>
      <c r="O1721" s="1"/>
      <c r="P1721" s="6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customFormat="false" ht="21.75" hidden="false" customHeight="true" outlineLevel="0" collapsed="false">
      <c r="A1722" s="4" t="n">
        <v>43493</v>
      </c>
      <c r="B1722" s="32" t="s">
        <v>108</v>
      </c>
      <c r="C1722" s="8" t="s">
        <v>15</v>
      </c>
      <c r="D1722" s="8" t="s">
        <v>16</v>
      </c>
      <c r="E1722" s="8" t="s">
        <v>109</v>
      </c>
      <c r="F1722" s="8" t="s">
        <v>4184</v>
      </c>
      <c r="G1722" s="8" t="n">
        <f aca="false">+593986234974</f>
        <v>593986234974</v>
      </c>
      <c r="H1722" s="8" t="s">
        <v>4105</v>
      </c>
      <c r="I1722" s="8"/>
      <c r="J1722" s="1"/>
      <c r="K1722" s="1" t="s">
        <v>21</v>
      </c>
      <c r="L1722" s="1" t="s">
        <v>3372</v>
      </c>
      <c r="M1722" s="1"/>
      <c r="N1722" s="1"/>
      <c r="O1722" s="1"/>
      <c r="P1722" s="6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customFormat="false" ht="21.75" hidden="false" customHeight="true" outlineLevel="0" collapsed="false">
      <c r="A1723" s="4" t="n">
        <v>43493</v>
      </c>
      <c r="B1723" s="32" t="s">
        <v>108</v>
      </c>
      <c r="C1723" s="8" t="s">
        <v>15</v>
      </c>
      <c r="D1723" s="8" t="s">
        <v>16</v>
      </c>
      <c r="E1723" s="8" t="s">
        <v>109</v>
      </c>
      <c r="F1723" s="8" t="s">
        <v>4185</v>
      </c>
      <c r="G1723" s="8" t="n">
        <f aca="false">+593967895894</f>
        <v>593967895894</v>
      </c>
      <c r="H1723" s="8" t="s">
        <v>4186</v>
      </c>
      <c r="I1723" s="8"/>
      <c r="J1723" s="1"/>
      <c r="K1723" s="1" t="s">
        <v>21</v>
      </c>
      <c r="L1723" s="1" t="s">
        <v>3404</v>
      </c>
      <c r="M1723" s="1"/>
      <c r="N1723" s="1"/>
      <c r="O1723" s="1"/>
      <c r="P1723" s="6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customFormat="false" ht="21.75" hidden="false" customHeight="true" outlineLevel="0" collapsed="false">
      <c r="A1724" s="4" t="n">
        <v>43493</v>
      </c>
      <c r="B1724" s="32" t="s">
        <v>108</v>
      </c>
      <c r="C1724" s="8" t="s">
        <v>15</v>
      </c>
      <c r="D1724" s="8" t="s">
        <v>16</v>
      </c>
      <c r="E1724" s="8" t="s">
        <v>109</v>
      </c>
      <c r="F1724" s="8" t="s">
        <v>4187</v>
      </c>
      <c r="G1724" s="8" t="n">
        <f aca="false">+5930993498454</f>
        <v>5930993498454</v>
      </c>
      <c r="H1724" s="8" t="s">
        <v>4188</v>
      </c>
      <c r="I1724" s="8"/>
      <c r="J1724" s="1"/>
      <c r="K1724" s="1" t="s">
        <v>1238</v>
      </c>
      <c r="L1724" s="1" t="s">
        <v>4189</v>
      </c>
      <c r="M1724" s="1"/>
      <c r="N1724" s="1"/>
      <c r="O1724" s="1"/>
      <c r="P1724" s="6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customFormat="false" ht="21.75" hidden="false" customHeight="true" outlineLevel="0" collapsed="false">
      <c r="A1725" s="4" t="n">
        <v>43493</v>
      </c>
      <c r="B1725" s="8" t="s">
        <v>48</v>
      </c>
      <c r="C1725" s="8" t="s">
        <v>15</v>
      </c>
      <c r="D1725" s="32" t="s">
        <v>43</v>
      </c>
      <c r="E1725" s="8" t="s">
        <v>883</v>
      </c>
      <c r="F1725" s="8" t="s">
        <v>4190</v>
      </c>
      <c r="G1725" s="8" t="n">
        <f aca="false">+593986508301</f>
        <v>593986508301</v>
      </c>
      <c r="H1725" s="8" t="s">
        <v>4191</v>
      </c>
      <c r="I1725" s="8"/>
      <c r="J1725" s="1"/>
      <c r="K1725" s="1" t="s">
        <v>673</v>
      </c>
      <c r="L1725" s="1"/>
      <c r="M1725" s="1"/>
      <c r="N1725" s="1"/>
      <c r="O1725" s="1"/>
      <c r="P1725" s="6" t="s">
        <v>3126</v>
      </c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customFormat="false" ht="21.75" hidden="false" customHeight="true" outlineLevel="0" collapsed="false">
      <c r="A1726" s="4" t="n">
        <v>43493</v>
      </c>
      <c r="B1726" s="8" t="s">
        <v>48</v>
      </c>
      <c r="C1726" s="8" t="s">
        <v>15</v>
      </c>
      <c r="D1726" s="32" t="s">
        <v>43</v>
      </c>
      <c r="E1726" s="8" t="s">
        <v>883</v>
      </c>
      <c r="F1726" s="8" t="s">
        <v>4192</v>
      </c>
      <c r="G1726" s="8" t="n">
        <f aca="false">+593968471057</f>
        <v>593968471057</v>
      </c>
      <c r="H1726" s="8" t="s">
        <v>4193</v>
      </c>
      <c r="I1726" s="8"/>
      <c r="J1726" s="1"/>
      <c r="K1726" s="1" t="s">
        <v>21</v>
      </c>
      <c r="L1726" s="1"/>
      <c r="M1726" s="1"/>
      <c r="N1726" s="1"/>
      <c r="O1726" s="1"/>
      <c r="P1726" s="6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customFormat="false" ht="21.75" hidden="false" customHeight="true" outlineLevel="0" collapsed="false">
      <c r="A1727" s="4" t="n">
        <v>43493</v>
      </c>
      <c r="B1727" s="8" t="s">
        <v>48</v>
      </c>
      <c r="C1727" s="8" t="s">
        <v>15</v>
      </c>
      <c r="D1727" s="32" t="s">
        <v>43</v>
      </c>
      <c r="E1727" s="8" t="s">
        <v>883</v>
      </c>
      <c r="F1727" s="8" t="s">
        <v>4194</v>
      </c>
      <c r="G1727" s="8" t="n">
        <f aca="false">+593983517310</f>
        <v>593983517310</v>
      </c>
      <c r="H1727" s="8" t="s">
        <v>4195</v>
      </c>
      <c r="I1727" s="8"/>
      <c r="J1727" s="1"/>
      <c r="K1727" s="1" t="s">
        <v>21</v>
      </c>
      <c r="L1727" s="1"/>
      <c r="M1727" s="1"/>
      <c r="N1727" s="1"/>
      <c r="O1727" s="1"/>
      <c r="P1727" s="6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customFormat="false" ht="21.75" hidden="false" customHeight="true" outlineLevel="0" collapsed="false">
      <c r="A1728" s="4" t="n">
        <v>43493</v>
      </c>
      <c r="B1728" s="8" t="s">
        <v>48</v>
      </c>
      <c r="C1728" s="8" t="s">
        <v>15</v>
      </c>
      <c r="D1728" s="32" t="s">
        <v>43</v>
      </c>
      <c r="E1728" s="8" t="s">
        <v>883</v>
      </c>
      <c r="F1728" s="8" t="s">
        <v>4196</v>
      </c>
      <c r="G1728" s="8" t="n">
        <f aca="false">+593984662639</f>
        <v>593984662639</v>
      </c>
      <c r="H1728" s="8" t="s">
        <v>4197</v>
      </c>
      <c r="I1728" s="8"/>
      <c r="J1728" s="1"/>
      <c r="K1728" s="1" t="s">
        <v>21</v>
      </c>
      <c r="L1728" s="1"/>
      <c r="M1728" s="1"/>
      <c r="N1728" s="1"/>
      <c r="O1728" s="1"/>
      <c r="P1728" s="6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customFormat="false" ht="21.75" hidden="false" customHeight="true" outlineLevel="0" collapsed="false">
      <c r="A1729" s="4" t="n">
        <v>43493</v>
      </c>
      <c r="B1729" s="8" t="s">
        <v>48</v>
      </c>
      <c r="C1729" s="8" t="s">
        <v>15</v>
      </c>
      <c r="D1729" s="32" t="s">
        <v>43</v>
      </c>
      <c r="E1729" s="8" t="s">
        <v>883</v>
      </c>
      <c r="F1729" s="8" t="s">
        <v>4198</v>
      </c>
      <c r="G1729" s="8" t="n">
        <f aca="false">+593996939093</f>
        <v>593996939093</v>
      </c>
      <c r="H1729" s="8" t="s">
        <v>4199</v>
      </c>
      <c r="I1729" s="8"/>
      <c r="J1729" s="1"/>
      <c r="K1729" s="1" t="s">
        <v>4200</v>
      </c>
      <c r="L1729" s="1"/>
      <c r="M1729" s="1"/>
      <c r="N1729" s="1"/>
      <c r="O1729" s="1"/>
      <c r="P1729" s="6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customFormat="false" ht="21.75" hidden="false" customHeight="true" outlineLevel="0" collapsed="false">
      <c r="A1730" s="4" t="n">
        <v>43493</v>
      </c>
      <c r="B1730" s="8" t="s">
        <v>48</v>
      </c>
      <c r="C1730" s="8" t="s">
        <v>15</v>
      </c>
      <c r="D1730" s="32" t="s">
        <v>43</v>
      </c>
      <c r="E1730" s="8" t="s">
        <v>883</v>
      </c>
      <c r="F1730" s="8" t="s">
        <v>4201</v>
      </c>
      <c r="G1730" s="8" t="n">
        <f aca="false">+593984847493</f>
        <v>593984847493</v>
      </c>
      <c r="H1730" s="8" t="s">
        <v>4202</v>
      </c>
      <c r="I1730" s="8"/>
      <c r="J1730" s="1"/>
      <c r="K1730" s="1" t="s">
        <v>21</v>
      </c>
      <c r="L1730" s="1"/>
      <c r="M1730" s="1"/>
      <c r="N1730" s="1"/>
      <c r="O1730" s="1"/>
      <c r="P1730" s="6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customFormat="false" ht="21.75" hidden="false" customHeight="true" outlineLevel="0" collapsed="false">
      <c r="A1731" s="4" t="n">
        <v>43493</v>
      </c>
      <c r="B1731" s="8" t="s">
        <v>48</v>
      </c>
      <c r="C1731" s="8" t="s">
        <v>15</v>
      </c>
      <c r="D1731" s="32" t="s">
        <v>43</v>
      </c>
      <c r="E1731" s="8" t="s">
        <v>883</v>
      </c>
      <c r="F1731" s="8" t="s">
        <v>2204</v>
      </c>
      <c r="G1731" s="8" t="n">
        <f aca="false">+593969414588</f>
        <v>593969414588</v>
      </c>
      <c r="H1731" s="8" t="s">
        <v>2205</v>
      </c>
      <c r="I1731" s="8"/>
      <c r="J1731" s="1"/>
      <c r="K1731" s="1" t="s">
        <v>21</v>
      </c>
      <c r="L1731" s="1"/>
      <c r="M1731" s="1"/>
      <c r="N1731" s="1"/>
      <c r="O1731" s="1"/>
      <c r="P1731" s="6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customFormat="false" ht="21.75" hidden="false" customHeight="true" outlineLevel="0" collapsed="false">
      <c r="A1732" s="4" t="n">
        <v>43493</v>
      </c>
      <c r="B1732" s="8" t="s">
        <v>48</v>
      </c>
      <c r="C1732" s="8" t="s">
        <v>15</v>
      </c>
      <c r="D1732" s="32" t="s">
        <v>43</v>
      </c>
      <c r="E1732" s="8" t="s">
        <v>883</v>
      </c>
      <c r="F1732" s="8" t="s">
        <v>4203</v>
      </c>
      <c r="G1732" s="8" t="n">
        <f aca="false">+593989539057</f>
        <v>593989539057</v>
      </c>
      <c r="H1732" s="8" t="s">
        <v>4204</v>
      </c>
      <c r="I1732" s="8"/>
      <c r="J1732" s="1"/>
      <c r="K1732" s="1" t="s">
        <v>21</v>
      </c>
      <c r="L1732" s="1"/>
      <c r="M1732" s="1"/>
      <c r="N1732" s="1"/>
      <c r="O1732" s="1"/>
      <c r="P1732" s="6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customFormat="false" ht="21.75" hidden="false" customHeight="true" outlineLevel="0" collapsed="false">
      <c r="A1733" s="4" t="n">
        <v>43493</v>
      </c>
      <c r="B1733" s="8" t="s">
        <v>48</v>
      </c>
      <c r="C1733" s="8" t="s">
        <v>15</v>
      </c>
      <c r="D1733" s="32" t="s">
        <v>43</v>
      </c>
      <c r="E1733" s="8" t="s">
        <v>883</v>
      </c>
      <c r="F1733" s="8" t="s">
        <v>4205</v>
      </c>
      <c r="G1733" s="8" t="n">
        <f aca="false">+593989919031</f>
        <v>593989919031</v>
      </c>
      <c r="H1733" s="8" t="s">
        <v>4206</v>
      </c>
      <c r="I1733" s="8"/>
      <c r="J1733" s="1"/>
      <c r="K1733" s="1" t="s">
        <v>21</v>
      </c>
      <c r="L1733" s="1"/>
      <c r="M1733" s="1"/>
      <c r="N1733" s="1"/>
      <c r="O1733" s="1"/>
      <c r="P1733" s="6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customFormat="false" ht="21.75" hidden="false" customHeight="true" outlineLevel="0" collapsed="false">
      <c r="A1734" s="4" t="n">
        <v>43493</v>
      </c>
      <c r="B1734" s="8" t="s">
        <v>48</v>
      </c>
      <c r="C1734" s="8" t="s">
        <v>26</v>
      </c>
      <c r="D1734" s="32" t="s">
        <v>43</v>
      </c>
      <c r="E1734" s="8" t="s">
        <v>883</v>
      </c>
      <c r="F1734" s="8" t="s">
        <v>4207</v>
      </c>
      <c r="G1734" s="8" t="n">
        <f aca="false">+593999761861</f>
        <v>593999761861</v>
      </c>
      <c r="H1734" s="8" t="s">
        <v>4208</v>
      </c>
      <c r="I1734" s="8"/>
      <c r="J1734" s="1"/>
      <c r="K1734" s="1" t="s">
        <v>21</v>
      </c>
      <c r="L1734" s="1"/>
      <c r="M1734" s="1"/>
      <c r="N1734" s="1"/>
      <c r="O1734" s="1"/>
      <c r="P1734" s="6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customFormat="false" ht="21.75" hidden="false" customHeight="true" outlineLevel="0" collapsed="false">
      <c r="A1735" s="4" t="n">
        <v>43493</v>
      </c>
      <c r="B1735" s="8" t="s">
        <v>48</v>
      </c>
      <c r="C1735" s="8" t="s">
        <v>15</v>
      </c>
      <c r="D1735" s="32" t="s">
        <v>43</v>
      </c>
      <c r="E1735" s="8" t="s">
        <v>883</v>
      </c>
      <c r="F1735" s="8" t="s">
        <v>4209</v>
      </c>
      <c r="G1735" s="8" t="n">
        <f aca="false">+593992377040</f>
        <v>593992377040</v>
      </c>
      <c r="H1735" s="8" t="s">
        <v>4210</v>
      </c>
      <c r="I1735" s="8"/>
      <c r="J1735" s="1"/>
      <c r="K1735" s="1" t="s">
        <v>21</v>
      </c>
      <c r="L1735" s="1"/>
      <c r="M1735" s="1"/>
      <c r="N1735" s="1"/>
      <c r="O1735" s="1"/>
      <c r="P1735" s="6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customFormat="false" ht="21.75" hidden="false" customHeight="true" outlineLevel="0" collapsed="false">
      <c r="A1736" s="4" t="n">
        <v>43493</v>
      </c>
      <c r="B1736" s="8" t="s">
        <v>48</v>
      </c>
      <c r="C1736" s="8" t="s">
        <v>15</v>
      </c>
      <c r="D1736" s="32" t="s">
        <v>43</v>
      </c>
      <c r="E1736" s="8" t="s">
        <v>883</v>
      </c>
      <c r="F1736" s="8" t="s">
        <v>4211</v>
      </c>
      <c r="G1736" s="8" t="n">
        <f aca="false">+593967830882</f>
        <v>593967830882</v>
      </c>
      <c r="H1736" s="8" t="s">
        <v>4212</v>
      </c>
      <c r="I1736" s="8"/>
      <c r="J1736" s="1"/>
      <c r="K1736" s="1" t="s">
        <v>4213</v>
      </c>
      <c r="L1736" s="1"/>
      <c r="M1736" s="1"/>
      <c r="N1736" s="1"/>
      <c r="O1736" s="1"/>
      <c r="P1736" s="6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customFormat="false" ht="21.75" hidden="false" customHeight="true" outlineLevel="0" collapsed="false">
      <c r="A1737" s="4" t="n">
        <v>43493</v>
      </c>
      <c r="B1737" s="8" t="s">
        <v>48</v>
      </c>
      <c r="C1737" s="8" t="s">
        <v>15</v>
      </c>
      <c r="D1737" s="32" t="s">
        <v>43</v>
      </c>
      <c r="E1737" s="8" t="s">
        <v>883</v>
      </c>
      <c r="F1737" s="8" t="s">
        <v>4214</v>
      </c>
      <c r="G1737" s="8" t="n">
        <f aca="false">+593993536494</f>
        <v>593993536494</v>
      </c>
      <c r="H1737" s="8" t="s">
        <v>4215</v>
      </c>
      <c r="I1737" s="8"/>
      <c r="J1737" s="1"/>
      <c r="K1737" s="1" t="s">
        <v>2274</v>
      </c>
      <c r="L1737" s="1"/>
      <c r="M1737" s="1"/>
      <c r="N1737" s="1"/>
      <c r="O1737" s="1"/>
      <c r="P1737" s="6" t="s">
        <v>3289</v>
      </c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customFormat="false" ht="21.75" hidden="false" customHeight="true" outlineLevel="0" collapsed="false">
      <c r="A1738" s="4" t="n">
        <v>43493</v>
      </c>
      <c r="B1738" s="8" t="s">
        <v>48</v>
      </c>
      <c r="C1738" s="8" t="s">
        <v>15</v>
      </c>
      <c r="D1738" s="32" t="s">
        <v>43</v>
      </c>
      <c r="E1738" s="8" t="s">
        <v>883</v>
      </c>
      <c r="F1738" s="8" t="s">
        <v>4216</v>
      </c>
      <c r="G1738" s="8" t="n">
        <f aca="false">+593986563128</f>
        <v>593986563128</v>
      </c>
      <c r="H1738" s="8" t="s">
        <v>4217</v>
      </c>
      <c r="I1738" s="8"/>
      <c r="J1738" s="1"/>
      <c r="K1738" s="1" t="s">
        <v>21</v>
      </c>
      <c r="L1738" s="1"/>
      <c r="M1738" s="1"/>
      <c r="N1738" s="1"/>
      <c r="O1738" s="1"/>
      <c r="P1738" s="6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customFormat="false" ht="21.75" hidden="false" customHeight="true" outlineLevel="0" collapsed="false">
      <c r="A1739" s="4" t="n">
        <v>43493</v>
      </c>
      <c r="B1739" s="8" t="s">
        <v>48</v>
      </c>
      <c r="C1739" s="8" t="s">
        <v>15</v>
      </c>
      <c r="D1739" s="32" t="s">
        <v>43</v>
      </c>
      <c r="E1739" s="8" t="s">
        <v>883</v>
      </c>
      <c r="F1739" s="8" t="s">
        <v>4218</v>
      </c>
      <c r="G1739" s="8" t="n">
        <f aca="false">+5930990851435</f>
        <v>5930990851435</v>
      </c>
      <c r="H1739" s="8" t="s">
        <v>4219</v>
      </c>
      <c r="I1739" s="8"/>
      <c r="J1739" s="1"/>
      <c r="K1739" s="1" t="s">
        <v>4220</v>
      </c>
      <c r="L1739" s="1"/>
      <c r="M1739" s="1"/>
      <c r="N1739" s="1"/>
      <c r="O1739" s="1"/>
      <c r="P1739" s="6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customFormat="false" ht="21.75" hidden="false" customHeight="true" outlineLevel="0" collapsed="false">
      <c r="A1740" s="4" t="n">
        <v>43493</v>
      </c>
      <c r="B1740" s="8" t="s">
        <v>48</v>
      </c>
      <c r="C1740" s="8" t="s">
        <v>15</v>
      </c>
      <c r="D1740" s="32" t="s">
        <v>43</v>
      </c>
      <c r="E1740" s="8" t="s">
        <v>883</v>
      </c>
      <c r="F1740" s="8" t="s">
        <v>4221</v>
      </c>
      <c r="G1740" s="8" t="n">
        <f aca="false">+593968455856</f>
        <v>593968455856</v>
      </c>
      <c r="H1740" s="8" t="s">
        <v>4222</v>
      </c>
      <c r="I1740" s="8"/>
      <c r="J1740" s="1"/>
      <c r="K1740" s="1" t="s">
        <v>228</v>
      </c>
      <c r="L1740" s="1"/>
      <c r="M1740" s="1"/>
      <c r="N1740" s="1"/>
      <c r="O1740" s="1"/>
      <c r="P1740" s="6" t="s">
        <v>3126</v>
      </c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customFormat="false" ht="21.75" hidden="false" customHeight="true" outlineLevel="0" collapsed="false">
      <c r="A1741" s="4" t="n">
        <v>43493</v>
      </c>
      <c r="B1741" s="32" t="s">
        <v>48</v>
      </c>
      <c r="C1741" s="8" t="s">
        <v>15</v>
      </c>
      <c r="D1741" s="32" t="s">
        <v>43</v>
      </c>
      <c r="E1741" s="8" t="s">
        <v>44</v>
      </c>
      <c r="F1741" s="8" t="s">
        <v>4223</v>
      </c>
      <c r="G1741" s="8" t="n">
        <f aca="false">+593991009135</f>
        <v>593991009135</v>
      </c>
      <c r="H1741" s="8" t="s">
        <v>4224</v>
      </c>
      <c r="I1741" s="8"/>
      <c r="J1741" s="1"/>
      <c r="K1741" s="1" t="s">
        <v>4225</v>
      </c>
      <c r="L1741" s="1"/>
      <c r="M1741" s="1"/>
      <c r="N1741" s="1"/>
      <c r="O1741" s="1"/>
      <c r="P1741" s="6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customFormat="false" ht="21.75" hidden="false" customHeight="true" outlineLevel="0" collapsed="false">
      <c r="A1742" s="4" t="n">
        <v>43493</v>
      </c>
      <c r="B1742" s="32" t="s">
        <v>48</v>
      </c>
      <c r="C1742" s="8" t="s">
        <v>15</v>
      </c>
      <c r="D1742" s="32" t="s">
        <v>43</v>
      </c>
      <c r="E1742" s="8" t="s">
        <v>44</v>
      </c>
      <c r="F1742" s="8" t="s">
        <v>4226</v>
      </c>
      <c r="G1742" s="8" t="n">
        <f aca="false">+593995982798</f>
        <v>593995982798</v>
      </c>
      <c r="H1742" s="8" t="s">
        <v>4227</v>
      </c>
      <c r="I1742" s="8"/>
      <c r="J1742" s="1"/>
      <c r="K1742" s="1" t="s">
        <v>21</v>
      </c>
      <c r="L1742" s="1"/>
      <c r="M1742" s="1"/>
      <c r="N1742" s="1"/>
      <c r="O1742" s="1"/>
      <c r="P1742" s="6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customFormat="false" ht="21.75" hidden="false" customHeight="true" outlineLevel="0" collapsed="false">
      <c r="A1743" s="4" t="n">
        <v>43493</v>
      </c>
      <c r="B1743" s="32" t="s">
        <v>48</v>
      </c>
      <c r="C1743" s="8" t="s">
        <v>15</v>
      </c>
      <c r="D1743" s="32" t="s">
        <v>43</v>
      </c>
      <c r="E1743" s="8" t="s">
        <v>44</v>
      </c>
      <c r="F1743" s="8" t="s">
        <v>4228</v>
      </c>
      <c r="G1743" s="8" t="n">
        <f aca="false">+593980047249</f>
        <v>593980047249</v>
      </c>
      <c r="H1743" s="8" t="s">
        <v>4229</v>
      </c>
      <c r="I1743" s="8"/>
      <c r="J1743" s="1"/>
      <c r="K1743" s="2" t="s">
        <v>4230</v>
      </c>
      <c r="L1743" s="1"/>
      <c r="M1743" s="1"/>
      <c r="N1743" s="1"/>
      <c r="O1743" s="1"/>
      <c r="P1743" s="6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customFormat="false" ht="21.75" hidden="false" customHeight="true" outlineLevel="0" collapsed="false">
      <c r="A1744" s="4" t="n">
        <v>43493</v>
      </c>
      <c r="B1744" s="32" t="s">
        <v>48</v>
      </c>
      <c r="C1744" s="8" t="s">
        <v>15</v>
      </c>
      <c r="D1744" s="32" t="s">
        <v>43</v>
      </c>
      <c r="E1744" s="8" t="s">
        <v>44</v>
      </c>
      <c r="F1744" s="8" t="s">
        <v>4231</v>
      </c>
      <c r="G1744" s="8" t="n">
        <f aca="false">+593969137428</f>
        <v>593969137428</v>
      </c>
      <c r="H1744" s="8" t="s">
        <v>4232</v>
      </c>
      <c r="I1744" s="8"/>
      <c r="J1744" s="1"/>
      <c r="K1744" s="1" t="s">
        <v>4233</v>
      </c>
      <c r="L1744" s="1"/>
      <c r="M1744" s="1"/>
      <c r="N1744" s="1"/>
      <c r="O1744" s="1"/>
      <c r="P1744" s="6" t="s">
        <v>3126</v>
      </c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customFormat="false" ht="21.75" hidden="false" customHeight="true" outlineLevel="0" collapsed="false">
      <c r="A1745" s="4" t="n">
        <v>43493</v>
      </c>
      <c r="B1745" s="32" t="s">
        <v>48</v>
      </c>
      <c r="C1745" s="8" t="s">
        <v>15</v>
      </c>
      <c r="D1745" s="32" t="s">
        <v>43</v>
      </c>
      <c r="E1745" s="8" t="s">
        <v>44</v>
      </c>
      <c r="F1745" s="8" t="s">
        <v>4234</v>
      </c>
      <c r="G1745" s="8" t="n">
        <f aca="false">+593992569776</f>
        <v>593992569776</v>
      </c>
      <c r="H1745" s="8" t="s">
        <v>4235</v>
      </c>
      <c r="I1745" s="8"/>
      <c r="J1745" s="1"/>
      <c r="K1745" s="2" t="s">
        <v>4236</v>
      </c>
      <c r="L1745" s="1"/>
      <c r="M1745" s="1"/>
      <c r="N1745" s="1"/>
      <c r="O1745" s="1"/>
      <c r="P1745" s="6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customFormat="false" ht="21.75" hidden="false" customHeight="true" outlineLevel="0" collapsed="false">
      <c r="A1746" s="4" t="n">
        <v>43493</v>
      </c>
      <c r="B1746" s="32" t="s">
        <v>48</v>
      </c>
      <c r="C1746" s="8" t="s">
        <v>15</v>
      </c>
      <c r="D1746" s="32" t="s">
        <v>43</v>
      </c>
      <c r="E1746" s="8" t="s">
        <v>44</v>
      </c>
      <c r="F1746" s="8" t="s">
        <v>4237</v>
      </c>
      <c r="G1746" s="8" t="n">
        <f aca="false">+593982518247</f>
        <v>593982518247</v>
      </c>
      <c r="H1746" s="8" t="s">
        <v>4238</v>
      </c>
      <c r="I1746" s="8"/>
      <c r="J1746" s="1"/>
      <c r="K1746" s="1" t="s">
        <v>1030</v>
      </c>
      <c r="L1746" s="1"/>
      <c r="M1746" s="1"/>
      <c r="N1746" s="1"/>
      <c r="O1746" s="1"/>
      <c r="P1746" s="6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customFormat="false" ht="21.75" hidden="false" customHeight="true" outlineLevel="0" collapsed="false">
      <c r="A1747" s="4" t="n">
        <v>43493</v>
      </c>
      <c r="B1747" s="32" t="s">
        <v>48</v>
      </c>
      <c r="C1747" s="8" t="s">
        <v>15</v>
      </c>
      <c r="D1747" s="32" t="s">
        <v>43</v>
      </c>
      <c r="E1747" s="8" t="s">
        <v>44</v>
      </c>
      <c r="F1747" s="8" t="s">
        <v>4239</v>
      </c>
      <c r="G1747" s="44" t="n">
        <v>593939535468</v>
      </c>
      <c r="H1747" s="8" t="s">
        <v>4240</v>
      </c>
      <c r="I1747" s="8"/>
      <c r="J1747" s="1"/>
      <c r="K1747" s="1" t="s">
        <v>2274</v>
      </c>
      <c r="L1747" s="1"/>
      <c r="M1747" s="1"/>
      <c r="N1747" s="1"/>
      <c r="O1747" s="1"/>
      <c r="P1747" s="6" t="s">
        <v>4241</v>
      </c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customFormat="false" ht="21.75" hidden="false" customHeight="true" outlineLevel="0" collapsed="false">
      <c r="A1748" s="4" t="n">
        <v>43493</v>
      </c>
      <c r="B1748" s="32" t="s">
        <v>48</v>
      </c>
      <c r="C1748" s="8" t="s">
        <v>15</v>
      </c>
      <c r="D1748" s="32" t="s">
        <v>43</v>
      </c>
      <c r="E1748" s="8" t="s">
        <v>44</v>
      </c>
      <c r="F1748" s="8" t="s">
        <v>4242</v>
      </c>
      <c r="G1748" s="44" t="n">
        <v>593981672778</v>
      </c>
      <c r="H1748" s="8" t="s">
        <v>4243</v>
      </c>
      <c r="I1748" s="8"/>
      <c r="J1748" s="1"/>
      <c r="K1748" s="1" t="s">
        <v>260</v>
      </c>
      <c r="L1748" s="1"/>
      <c r="M1748" s="1"/>
      <c r="N1748" s="1"/>
      <c r="O1748" s="1"/>
      <c r="P1748" s="6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customFormat="false" ht="21.75" hidden="false" customHeight="true" outlineLevel="0" collapsed="false">
      <c r="A1749" s="4" t="n">
        <v>43493</v>
      </c>
      <c r="B1749" s="32" t="s">
        <v>48</v>
      </c>
      <c r="C1749" s="8" t="s">
        <v>15</v>
      </c>
      <c r="D1749" s="32" t="s">
        <v>43</v>
      </c>
      <c r="E1749" s="8" t="s">
        <v>44</v>
      </c>
      <c r="F1749" s="8" t="s">
        <v>4244</v>
      </c>
      <c r="G1749" s="8" t="n">
        <f aca="false">+593985174635</f>
        <v>593985174635</v>
      </c>
      <c r="H1749" s="8" t="s">
        <v>4245</v>
      </c>
      <c r="I1749" s="8"/>
      <c r="J1749" s="1"/>
      <c r="K1749" s="1" t="s">
        <v>4246</v>
      </c>
      <c r="L1749" s="1"/>
      <c r="M1749" s="1"/>
      <c r="N1749" s="1"/>
      <c r="O1749" s="1"/>
      <c r="P1749" s="6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customFormat="false" ht="21.75" hidden="false" customHeight="true" outlineLevel="0" collapsed="false">
      <c r="A1750" s="4" t="n">
        <v>43493</v>
      </c>
      <c r="B1750" s="32" t="s">
        <v>48</v>
      </c>
      <c r="C1750" s="8" t="s">
        <v>15</v>
      </c>
      <c r="D1750" s="32" t="s">
        <v>43</v>
      </c>
      <c r="E1750" s="8" t="s">
        <v>44</v>
      </c>
      <c r="F1750" s="8" t="s">
        <v>4247</v>
      </c>
      <c r="G1750" s="8" t="n">
        <f aca="false">+593959129570</f>
        <v>593959129570</v>
      </c>
      <c r="H1750" s="8" t="s">
        <v>4248</v>
      </c>
      <c r="I1750" s="8"/>
      <c r="J1750" s="1"/>
      <c r="K1750" s="1" t="s">
        <v>21</v>
      </c>
      <c r="L1750" s="1"/>
      <c r="M1750" s="1"/>
      <c r="N1750" s="1"/>
      <c r="O1750" s="1"/>
      <c r="P1750" s="6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customFormat="false" ht="21.75" hidden="false" customHeight="true" outlineLevel="0" collapsed="false">
      <c r="A1751" s="4" t="n">
        <v>43493</v>
      </c>
      <c r="B1751" s="32" t="s">
        <v>48</v>
      </c>
      <c r="C1751" s="8" t="s">
        <v>15</v>
      </c>
      <c r="D1751" s="32" t="s">
        <v>43</v>
      </c>
      <c r="E1751" s="8" t="s">
        <v>44</v>
      </c>
      <c r="F1751" s="8" t="s">
        <v>4249</v>
      </c>
      <c r="G1751" s="8" t="n">
        <f aca="false">+593987779087</f>
        <v>593987779087</v>
      </c>
      <c r="H1751" s="8" t="s">
        <v>4250</v>
      </c>
      <c r="I1751" s="8"/>
      <c r="J1751" s="1"/>
      <c r="K1751" s="1" t="s">
        <v>21</v>
      </c>
      <c r="L1751" s="1"/>
      <c r="M1751" s="1"/>
      <c r="N1751" s="1"/>
      <c r="O1751" s="1"/>
      <c r="P1751" s="6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customFormat="false" ht="21.75" hidden="false" customHeight="true" outlineLevel="0" collapsed="false">
      <c r="A1752" s="4" t="n">
        <v>43493</v>
      </c>
      <c r="B1752" s="32" t="s">
        <v>48</v>
      </c>
      <c r="C1752" s="8" t="s">
        <v>15</v>
      </c>
      <c r="D1752" s="32" t="s">
        <v>43</v>
      </c>
      <c r="E1752" s="8" t="s">
        <v>44</v>
      </c>
      <c r="F1752" s="8" t="s">
        <v>4251</v>
      </c>
      <c r="G1752" s="8" t="n">
        <f aca="false">+5930959012175</f>
        <v>5930959012175</v>
      </c>
      <c r="H1752" s="8" t="s">
        <v>4252</v>
      </c>
      <c r="I1752" s="8"/>
      <c r="J1752" s="1"/>
      <c r="K1752" s="1" t="s">
        <v>21</v>
      </c>
      <c r="L1752" s="1"/>
      <c r="M1752" s="1"/>
      <c r="N1752" s="1"/>
      <c r="O1752" s="1"/>
      <c r="P1752" s="6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customFormat="false" ht="21.75" hidden="false" customHeight="true" outlineLevel="0" collapsed="false">
      <c r="A1753" s="4" t="n">
        <v>43493</v>
      </c>
      <c r="B1753" s="32" t="s">
        <v>48</v>
      </c>
      <c r="C1753" s="8" t="s">
        <v>15</v>
      </c>
      <c r="D1753" s="32" t="s">
        <v>43</v>
      </c>
      <c r="E1753" s="8" t="s">
        <v>44</v>
      </c>
      <c r="F1753" s="8" t="s">
        <v>4253</v>
      </c>
      <c r="G1753" s="8" t="n">
        <f aca="false">+593959605803</f>
        <v>593959605803</v>
      </c>
      <c r="H1753" s="8" t="s">
        <v>4254</v>
      </c>
      <c r="I1753" s="8"/>
      <c r="J1753" s="1"/>
      <c r="K1753" s="1" t="s">
        <v>21</v>
      </c>
      <c r="L1753" s="1"/>
      <c r="M1753" s="1"/>
      <c r="N1753" s="1"/>
      <c r="O1753" s="1"/>
      <c r="P1753" s="6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customFormat="false" ht="21.75" hidden="false" customHeight="true" outlineLevel="0" collapsed="false">
      <c r="A1754" s="4" t="n">
        <v>43493</v>
      </c>
      <c r="B1754" s="32" t="s">
        <v>48</v>
      </c>
      <c r="C1754" s="8" t="s">
        <v>15</v>
      </c>
      <c r="D1754" s="32" t="s">
        <v>43</v>
      </c>
      <c r="E1754" s="8" t="s">
        <v>44</v>
      </c>
      <c r="F1754" s="8" t="s">
        <v>4255</v>
      </c>
      <c r="G1754" s="8" t="n">
        <f aca="false">+593992212087</f>
        <v>593992212087</v>
      </c>
      <c r="H1754" s="8" t="s">
        <v>4256</v>
      </c>
      <c r="I1754" s="8"/>
      <c r="J1754" s="1"/>
      <c r="K1754" s="1" t="s">
        <v>2714</v>
      </c>
      <c r="L1754" s="1"/>
      <c r="M1754" s="1"/>
      <c r="N1754" s="1"/>
      <c r="O1754" s="1"/>
      <c r="P1754" s="6" t="s">
        <v>3126</v>
      </c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customFormat="false" ht="21.75" hidden="false" customHeight="true" outlineLevel="0" collapsed="false">
      <c r="A1755" s="4" t="n">
        <v>43493</v>
      </c>
      <c r="B1755" s="32" t="s">
        <v>48</v>
      </c>
      <c r="C1755" s="8" t="s">
        <v>15</v>
      </c>
      <c r="D1755" s="32" t="s">
        <v>43</v>
      </c>
      <c r="E1755" s="8" t="s">
        <v>44</v>
      </c>
      <c r="F1755" s="8" t="s">
        <v>4221</v>
      </c>
      <c r="G1755" s="8" t="n">
        <v>593968455856</v>
      </c>
      <c r="H1755" s="8" t="s">
        <v>4222</v>
      </c>
      <c r="I1755" s="8"/>
      <c r="J1755" s="1"/>
      <c r="K1755" s="1" t="s">
        <v>428</v>
      </c>
      <c r="L1755" s="1"/>
      <c r="M1755" s="1"/>
      <c r="N1755" s="1"/>
      <c r="O1755" s="1"/>
      <c r="P1755" s="6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customFormat="false" ht="21.75" hidden="false" customHeight="true" outlineLevel="0" collapsed="false">
      <c r="A1756" s="4" t="n">
        <v>43493</v>
      </c>
      <c r="B1756" s="32" t="s">
        <v>48</v>
      </c>
      <c r="C1756" s="8" t="s">
        <v>15</v>
      </c>
      <c r="D1756" s="32" t="s">
        <v>43</v>
      </c>
      <c r="E1756" s="8" t="s">
        <v>44</v>
      </c>
      <c r="F1756" s="8" t="s">
        <v>4257</v>
      </c>
      <c r="G1756" s="8" t="n">
        <f aca="false">+593999490611</f>
        <v>593999490611</v>
      </c>
      <c r="H1756" s="8" t="s">
        <v>4258</v>
      </c>
      <c r="I1756" s="8"/>
      <c r="J1756" s="1"/>
      <c r="K1756" s="1" t="s">
        <v>21</v>
      </c>
      <c r="L1756" s="1"/>
      <c r="M1756" s="1"/>
      <c r="N1756" s="1"/>
      <c r="O1756" s="1"/>
      <c r="P1756" s="6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customFormat="false" ht="21.75" hidden="false" customHeight="true" outlineLevel="0" collapsed="false">
      <c r="A1757" s="4" t="n">
        <v>43493</v>
      </c>
      <c r="B1757" s="32" t="s">
        <v>48</v>
      </c>
      <c r="C1757" s="8" t="s">
        <v>15</v>
      </c>
      <c r="D1757" s="8" t="s">
        <v>43</v>
      </c>
      <c r="E1757" s="8" t="s">
        <v>44</v>
      </c>
      <c r="F1757" s="32" t="s">
        <v>4259</v>
      </c>
      <c r="G1757" s="32"/>
      <c r="H1757" s="32" t="s">
        <v>4260</v>
      </c>
      <c r="I1757" s="32"/>
      <c r="J1757" s="1"/>
      <c r="K1757" s="1" t="s">
        <v>4261</v>
      </c>
      <c r="L1757" s="1"/>
      <c r="M1757" s="1"/>
      <c r="N1757" s="1"/>
      <c r="O1757" s="1"/>
      <c r="P1757" s="6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customFormat="false" ht="21.75" hidden="false" customHeight="true" outlineLevel="0" collapsed="false">
      <c r="A1758" s="4" t="n">
        <v>43493</v>
      </c>
      <c r="B1758" s="8" t="s">
        <v>48</v>
      </c>
      <c r="C1758" s="8" t="s">
        <v>15</v>
      </c>
      <c r="D1758" s="32" t="s">
        <v>43</v>
      </c>
      <c r="E1758" s="8" t="s">
        <v>109</v>
      </c>
      <c r="F1758" s="8" t="s">
        <v>4262</v>
      </c>
      <c r="G1758" s="8" t="n">
        <f aca="false">+593979627142</f>
        <v>593979627142</v>
      </c>
      <c r="H1758" s="8" t="s">
        <v>4263</v>
      </c>
      <c r="I1758" s="8"/>
      <c r="J1758" s="1"/>
      <c r="K1758" s="1" t="s">
        <v>21</v>
      </c>
      <c r="L1758" s="1"/>
      <c r="M1758" s="1"/>
      <c r="N1758" s="1"/>
      <c r="O1758" s="1"/>
      <c r="P1758" s="6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customFormat="false" ht="21.75" hidden="false" customHeight="true" outlineLevel="0" collapsed="false">
      <c r="A1759" s="4" t="n">
        <v>43493</v>
      </c>
      <c r="B1759" s="8" t="s">
        <v>48</v>
      </c>
      <c r="C1759" s="8" t="s">
        <v>15</v>
      </c>
      <c r="D1759" s="32" t="s">
        <v>43</v>
      </c>
      <c r="E1759" s="8" t="s">
        <v>109</v>
      </c>
      <c r="F1759" s="8" t="s">
        <v>4264</v>
      </c>
      <c r="G1759" s="8" t="n">
        <f aca="false">+593984284826</f>
        <v>593984284826</v>
      </c>
      <c r="H1759" s="8" t="s">
        <v>4265</v>
      </c>
      <c r="I1759" s="8"/>
      <c r="J1759" s="1"/>
      <c r="K1759" s="1" t="s">
        <v>21</v>
      </c>
      <c r="L1759" s="1"/>
      <c r="M1759" s="1"/>
      <c r="N1759" s="1"/>
      <c r="O1759" s="1"/>
      <c r="P1759" s="6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customFormat="false" ht="21.75" hidden="false" customHeight="true" outlineLevel="0" collapsed="false">
      <c r="A1760" s="4" t="n">
        <v>43493</v>
      </c>
      <c r="B1760" s="8" t="s">
        <v>48</v>
      </c>
      <c r="C1760" s="8" t="s">
        <v>15</v>
      </c>
      <c r="D1760" s="32" t="s">
        <v>43</v>
      </c>
      <c r="E1760" s="8" t="s">
        <v>109</v>
      </c>
      <c r="F1760" s="8" t="s">
        <v>4266</v>
      </c>
      <c r="G1760" s="8" t="n">
        <f aca="false">+593983485939</f>
        <v>593983485939</v>
      </c>
      <c r="H1760" s="8" t="s">
        <v>4267</v>
      </c>
      <c r="I1760" s="8"/>
      <c r="J1760" s="1"/>
      <c r="K1760" s="1" t="s">
        <v>21</v>
      </c>
      <c r="L1760" s="1"/>
      <c r="M1760" s="1"/>
      <c r="N1760" s="1"/>
      <c r="O1760" s="1"/>
      <c r="P1760" s="6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customFormat="false" ht="21.75" hidden="false" customHeight="true" outlineLevel="0" collapsed="false">
      <c r="A1761" s="4" t="n">
        <v>43493</v>
      </c>
      <c r="B1761" s="8" t="s">
        <v>48</v>
      </c>
      <c r="C1761" s="8" t="s">
        <v>15</v>
      </c>
      <c r="D1761" s="32" t="s">
        <v>43</v>
      </c>
      <c r="E1761" s="8" t="s">
        <v>109</v>
      </c>
      <c r="F1761" s="8" t="s">
        <v>149</v>
      </c>
      <c r="G1761" s="8" t="n">
        <f aca="false">+5930939622239</f>
        <v>5930939622239</v>
      </c>
      <c r="H1761" s="8" t="s">
        <v>150</v>
      </c>
      <c r="I1761" s="8"/>
      <c r="J1761" s="1"/>
      <c r="K1761" s="1" t="s">
        <v>21</v>
      </c>
      <c r="L1761" s="1"/>
      <c r="M1761" s="1"/>
      <c r="N1761" s="1"/>
      <c r="O1761" s="1"/>
      <c r="P1761" s="6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customFormat="false" ht="21.75" hidden="false" customHeight="true" outlineLevel="0" collapsed="false">
      <c r="A1762" s="4" t="n">
        <v>43493</v>
      </c>
      <c r="B1762" s="8" t="s">
        <v>48</v>
      </c>
      <c r="C1762" s="8" t="s">
        <v>26</v>
      </c>
      <c r="D1762" s="32" t="s">
        <v>43</v>
      </c>
      <c r="E1762" s="8" t="s">
        <v>109</v>
      </c>
      <c r="F1762" s="8" t="s">
        <v>4268</v>
      </c>
      <c r="G1762" s="8" t="n">
        <f aca="false">+593987443707</f>
        <v>593987443707</v>
      </c>
      <c r="H1762" s="8" t="s">
        <v>4269</v>
      </c>
      <c r="I1762" s="8"/>
      <c r="J1762" s="1"/>
      <c r="K1762" s="1" t="s">
        <v>21</v>
      </c>
      <c r="L1762" s="1"/>
      <c r="M1762" s="1"/>
      <c r="N1762" s="1"/>
      <c r="O1762" s="1"/>
      <c r="P1762" s="6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customFormat="false" ht="21.75" hidden="false" customHeight="true" outlineLevel="0" collapsed="false">
      <c r="A1763" s="4" t="n">
        <v>43493</v>
      </c>
      <c r="B1763" s="8" t="s">
        <v>48</v>
      </c>
      <c r="C1763" s="8" t="s">
        <v>15</v>
      </c>
      <c r="D1763" s="32" t="s">
        <v>43</v>
      </c>
      <c r="E1763" s="8" t="s">
        <v>109</v>
      </c>
      <c r="F1763" s="8" t="s">
        <v>4270</v>
      </c>
      <c r="G1763" s="8" t="n">
        <f aca="false">+593969165837</f>
        <v>593969165837</v>
      </c>
      <c r="H1763" s="8" t="s">
        <v>4271</v>
      </c>
      <c r="I1763" s="8"/>
      <c r="J1763" s="1"/>
      <c r="K1763" s="1" t="s">
        <v>4272</v>
      </c>
      <c r="L1763" s="1"/>
      <c r="M1763" s="1"/>
      <c r="N1763" s="1"/>
      <c r="O1763" s="1"/>
      <c r="P1763" s="6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customFormat="false" ht="21.75" hidden="false" customHeight="true" outlineLevel="0" collapsed="false">
      <c r="A1764" s="4" t="n">
        <v>43493</v>
      </c>
      <c r="B1764" s="8" t="s">
        <v>48</v>
      </c>
      <c r="C1764" s="8" t="s">
        <v>15</v>
      </c>
      <c r="D1764" s="32" t="s">
        <v>43</v>
      </c>
      <c r="E1764" s="8" t="s">
        <v>109</v>
      </c>
      <c r="F1764" s="8" t="s">
        <v>4273</v>
      </c>
      <c r="G1764" s="8" t="n">
        <f aca="false">+5930979259565</f>
        <v>5930979259565</v>
      </c>
      <c r="H1764" s="8" t="s">
        <v>4274</v>
      </c>
      <c r="I1764" s="8"/>
      <c r="J1764" s="1"/>
      <c r="K1764" s="1" t="s">
        <v>21</v>
      </c>
      <c r="L1764" s="1"/>
      <c r="M1764" s="1"/>
      <c r="N1764" s="1"/>
      <c r="O1764" s="1"/>
      <c r="P1764" s="6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customFormat="false" ht="21.75" hidden="false" customHeight="true" outlineLevel="0" collapsed="false">
      <c r="A1765" s="4" t="n">
        <v>43493</v>
      </c>
      <c r="B1765" s="8" t="s">
        <v>48</v>
      </c>
      <c r="C1765" s="8" t="s">
        <v>15</v>
      </c>
      <c r="D1765" s="32" t="s">
        <v>43</v>
      </c>
      <c r="E1765" s="8" t="s">
        <v>109</v>
      </c>
      <c r="F1765" s="8" t="s">
        <v>4275</v>
      </c>
      <c r="G1765" s="8" t="n">
        <f aca="false">+593991132122</f>
        <v>593991132122</v>
      </c>
      <c r="H1765" s="8" t="s">
        <v>4276</v>
      </c>
      <c r="I1765" s="8"/>
      <c r="J1765" s="1"/>
      <c r="K1765" s="1" t="s">
        <v>21</v>
      </c>
      <c r="L1765" s="1"/>
      <c r="M1765" s="1"/>
      <c r="N1765" s="1"/>
      <c r="O1765" s="1"/>
      <c r="P1765" s="6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customFormat="false" ht="21.75" hidden="false" customHeight="true" outlineLevel="0" collapsed="false">
      <c r="A1766" s="4" t="n">
        <v>43493</v>
      </c>
      <c r="B1766" s="8" t="s">
        <v>48</v>
      </c>
      <c r="C1766" s="8" t="s">
        <v>15</v>
      </c>
      <c r="D1766" s="32" t="s">
        <v>43</v>
      </c>
      <c r="E1766" s="8" t="s">
        <v>109</v>
      </c>
      <c r="F1766" s="8" t="s">
        <v>4277</v>
      </c>
      <c r="G1766" s="8" t="n">
        <f aca="false">+593992978726</f>
        <v>593992978726</v>
      </c>
      <c r="H1766" s="8" t="s">
        <v>4278</v>
      </c>
      <c r="I1766" s="8"/>
      <c r="J1766" s="1"/>
      <c r="K1766" s="1" t="s">
        <v>4279</v>
      </c>
      <c r="L1766" s="1"/>
      <c r="M1766" s="1"/>
      <c r="N1766" s="1"/>
      <c r="O1766" s="1"/>
      <c r="P1766" s="6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customFormat="false" ht="21.75" hidden="false" customHeight="true" outlineLevel="0" collapsed="false">
      <c r="A1767" s="4" t="n">
        <v>43493</v>
      </c>
      <c r="B1767" s="32" t="s">
        <v>48</v>
      </c>
      <c r="C1767" s="8" t="s">
        <v>15</v>
      </c>
      <c r="D1767" s="8" t="s">
        <v>43</v>
      </c>
      <c r="E1767" s="8" t="s">
        <v>109</v>
      </c>
      <c r="F1767" s="39" t="s">
        <v>4280</v>
      </c>
      <c r="G1767" s="32" t="n">
        <v>969332979</v>
      </c>
      <c r="H1767" s="32" t="s">
        <v>4281</v>
      </c>
      <c r="I1767" s="32"/>
      <c r="J1767" s="1"/>
      <c r="K1767" s="1" t="s">
        <v>260</v>
      </c>
      <c r="L1767" s="1"/>
      <c r="M1767" s="1"/>
      <c r="N1767" s="1"/>
      <c r="O1767" s="1"/>
      <c r="P1767" s="6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customFormat="false" ht="21.75" hidden="false" customHeight="true" outlineLevel="0" collapsed="false">
      <c r="A1768" s="4" t="n">
        <v>43493</v>
      </c>
      <c r="B1768" s="32" t="s">
        <v>48</v>
      </c>
      <c r="C1768" s="8" t="s">
        <v>15</v>
      </c>
      <c r="D1768" s="8" t="s">
        <v>43</v>
      </c>
      <c r="E1768" s="8" t="s">
        <v>109</v>
      </c>
      <c r="F1768" s="39" t="s">
        <v>3660</v>
      </c>
      <c r="G1768" s="32" t="n">
        <v>967424695</v>
      </c>
      <c r="H1768" s="32" t="s">
        <v>3661</v>
      </c>
      <c r="I1768" s="32"/>
      <c r="J1768" s="1"/>
      <c r="K1768" s="1" t="s">
        <v>4282</v>
      </c>
      <c r="L1768" s="1"/>
      <c r="M1768" s="1"/>
      <c r="N1768" s="1"/>
      <c r="O1768" s="1"/>
      <c r="P1768" s="6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customFormat="false" ht="21.75" hidden="false" customHeight="true" outlineLevel="0" collapsed="false">
      <c r="A1769" s="4" t="n">
        <v>43493</v>
      </c>
      <c r="B1769" s="32" t="s">
        <v>48</v>
      </c>
      <c r="C1769" s="8" t="s">
        <v>15</v>
      </c>
      <c r="D1769" s="8" t="s">
        <v>43</v>
      </c>
      <c r="E1769" s="8" t="s">
        <v>109</v>
      </c>
      <c r="F1769" s="39" t="s">
        <v>4283</v>
      </c>
      <c r="G1769" s="32" t="n">
        <v>986340103</v>
      </c>
      <c r="H1769" s="32" t="s">
        <v>4284</v>
      </c>
      <c r="I1769" s="32"/>
      <c r="J1769" s="1"/>
      <c r="K1769" s="1" t="s">
        <v>21</v>
      </c>
      <c r="L1769" s="1"/>
      <c r="M1769" s="1"/>
      <c r="N1769" s="1"/>
      <c r="O1769" s="1"/>
      <c r="P1769" s="6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customFormat="false" ht="21.75" hidden="false" customHeight="true" outlineLevel="0" collapsed="false">
      <c r="A1770" s="4" t="n">
        <v>43493</v>
      </c>
      <c r="B1770" s="32" t="s">
        <v>48</v>
      </c>
      <c r="C1770" s="8" t="s">
        <v>15</v>
      </c>
      <c r="D1770" s="8" t="s">
        <v>43</v>
      </c>
      <c r="E1770" s="8" t="s">
        <v>109</v>
      </c>
      <c r="F1770" s="39" t="s">
        <v>4285</v>
      </c>
      <c r="G1770" s="32" t="n">
        <v>968385381</v>
      </c>
      <c r="H1770" s="32" t="s">
        <v>4286</v>
      </c>
      <c r="I1770" s="32"/>
      <c r="J1770" s="1"/>
      <c r="K1770" s="1" t="s">
        <v>21</v>
      </c>
      <c r="L1770" s="1"/>
      <c r="M1770" s="1"/>
      <c r="N1770" s="1"/>
      <c r="O1770" s="1"/>
      <c r="P1770" s="6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customFormat="false" ht="21.75" hidden="false" customHeight="true" outlineLevel="0" collapsed="false">
      <c r="A1771" s="4" t="n">
        <v>43493</v>
      </c>
      <c r="B1771" s="32" t="s">
        <v>48</v>
      </c>
      <c r="C1771" s="8" t="s">
        <v>15</v>
      </c>
      <c r="D1771" s="8" t="s">
        <v>43</v>
      </c>
      <c r="E1771" s="8" t="s">
        <v>109</v>
      </c>
      <c r="F1771" s="39" t="s">
        <v>4287</v>
      </c>
      <c r="G1771" s="32" t="n">
        <v>994922573</v>
      </c>
      <c r="H1771" s="32" t="s">
        <v>4288</v>
      </c>
      <c r="I1771" s="32"/>
      <c r="J1771" s="1"/>
      <c r="K1771" s="1" t="s">
        <v>21</v>
      </c>
      <c r="L1771" s="1"/>
      <c r="M1771" s="1"/>
      <c r="N1771" s="1"/>
      <c r="O1771" s="1"/>
      <c r="P1771" s="6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customFormat="false" ht="21.75" hidden="false" customHeight="true" outlineLevel="0" collapsed="false">
      <c r="A1772" s="4" t="n">
        <v>43493</v>
      </c>
      <c r="B1772" s="32" t="s">
        <v>48</v>
      </c>
      <c r="C1772" s="8" t="s">
        <v>15</v>
      </c>
      <c r="D1772" s="8" t="s">
        <v>43</v>
      </c>
      <c r="E1772" s="8" t="s">
        <v>109</v>
      </c>
      <c r="F1772" s="39" t="s">
        <v>4289</v>
      </c>
      <c r="G1772" s="32" t="n">
        <v>993435184</v>
      </c>
      <c r="H1772" s="32" t="s">
        <v>4290</v>
      </c>
      <c r="I1772" s="32"/>
      <c r="J1772" s="1"/>
      <c r="K1772" s="1" t="s">
        <v>4291</v>
      </c>
      <c r="L1772" s="1"/>
      <c r="M1772" s="1"/>
      <c r="N1772" s="1"/>
      <c r="O1772" s="1"/>
      <c r="P1772" s="6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customFormat="false" ht="21.75" hidden="false" customHeight="true" outlineLevel="0" collapsed="false">
      <c r="A1773" s="4" t="n">
        <v>43493</v>
      </c>
      <c r="B1773" s="8" t="s">
        <v>532</v>
      </c>
      <c r="C1773" s="8" t="s">
        <v>15</v>
      </c>
      <c r="D1773" s="32" t="s">
        <v>43</v>
      </c>
      <c r="E1773" s="8" t="s">
        <v>109</v>
      </c>
      <c r="F1773" s="8" t="s">
        <v>2500</v>
      </c>
      <c r="G1773" s="8" t="n">
        <f aca="false">+5930999933867</f>
        <v>5930999933867</v>
      </c>
      <c r="H1773" s="8" t="s">
        <v>4292</v>
      </c>
      <c r="I1773" s="8"/>
      <c r="J1773" s="1"/>
      <c r="K1773" s="1" t="s">
        <v>21</v>
      </c>
      <c r="L1773" s="1"/>
      <c r="M1773" s="1"/>
      <c r="N1773" s="1"/>
      <c r="O1773" s="1"/>
      <c r="P1773" s="6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customFormat="false" ht="21.75" hidden="false" customHeight="true" outlineLevel="0" collapsed="false">
      <c r="A1774" s="4" t="n">
        <v>43493</v>
      </c>
      <c r="B1774" s="8" t="s">
        <v>532</v>
      </c>
      <c r="C1774" s="8" t="s">
        <v>15</v>
      </c>
      <c r="D1774" s="32" t="s">
        <v>43</v>
      </c>
      <c r="E1774" s="8" t="s">
        <v>109</v>
      </c>
      <c r="F1774" s="8" t="s">
        <v>4293</v>
      </c>
      <c r="G1774" s="8" t="n">
        <f aca="false">+5930990683197</f>
        <v>5930990683197</v>
      </c>
      <c r="H1774" s="8" t="s">
        <v>4294</v>
      </c>
      <c r="I1774" s="8"/>
      <c r="J1774" s="1"/>
      <c r="K1774" s="1" t="s">
        <v>21</v>
      </c>
      <c r="L1774" s="1"/>
      <c r="M1774" s="1"/>
      <c r="N1774" s="1"/>
      <c r="O1774" s="1"/>
      <c r="P1774" s="6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customFormat="false" ht="21.75" hidden="false" customHeight="true" outlineLevel="0" collapsed="false">
      <c r="A1775" s="4" t="n">
        <v>43493</v>
      </c>
      <c r="B1775" s="8" t="s">
        <v>532</v>
      </c>
      <c r="C1775" s="8" t="s">
        <v>26</v>
      </c>
      <c r="D1775" s="32" t="s">
        <v>43</v>
      </c>
      <c r="E1775" s="8" t="s">
        <v>109</v>
      </c>
      <c r="F1775" s="8" t="s">
        <v>4295</v>
      </c>
      <c r="G1775" s="8" t="n">
        <f aca="false">+593993642514</f>
        <v>593993642514</v>
      </c>
      <c r="H1775" s="8" t="s">
        <v>4296</v>
      </c>
      <c r="I1775" s="8"/>
      <c r="J1775" s="1"/>
      <c r="K1775" s="1" t="s">
        <v>21</v>
      </c>
      <c r="L1775" s="1"/>
      <c r="M1775" s="1"/>
      <c r="N1775" s="1"/>
      <c r="O1775" s="1"/>
      <c r="P1775" s="6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customFormat="false" ht="21.75" hidden="false" customHeight="true" outlineLevel="0" collapsed="false">
      <c r="A1776" s="4" t="n">
        <v>43493</v>
      </c>
      <c r="B1776" s="8" t="s">
        <v>532</v>
      </c>
      <c r="C1776" s="8" t="s">
        <v>15</v>
      </c>
      <c r="D1776" s="32" t="s">
        <v>43</v>
      </c>
      <c r="E1776" s="8" t="s">
        <v>109</v>
      </c>
      <c r="F1776" s="8" t="s">
        <v>4297</v>
      </c>
      <c r="G1776" s="8" t="n">
        <f aca="false">+593939346796</f>
        <v>593939346796</v>
      </c>
      <c r="H1776" s="8" t="s">
        <v>4298</v>
      </c>
      <c r="I1776" s="8"/>
      <c r="J1776" s="1"/>
      <c r="K1776" s="1" t="s">
        <v>1065</v>
      </c>
      <c r="L1776" s="1"/>
      <c r="M1776" s="1"/>
      <c r="N1776" s="1"/>
      <c r="O1776" s="1"/>
      <c r="P1776" s="6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customFormat="false" ht="21.75" hidden="false" customHeight="true" outlineLevel="0" collapsed="false">
      <c r="A1777" s="4" t="n">
        <v>43493</v>
      </c>
      <c r="B1777" s="8" t="s">
        <v>532</v>
      </c>
      <c r="C1777" s="8" t="s">
        <v>15</v>
      </c>
      <c r="D1777" s="32" t="s">
        <v>43</v>
      </c>
      <c r="E1777" s="8" t="s">
        <v>109</v>
      </c>
      <c r="F1777" s="8" t="s">
        <v>4299</v>
      </c>
      <c r="G1777" s="8" t="n">
        <f aca="false">+593995279832</f>
        <v>593995279832</v>
      </c>
      <c r="H1777" s="8" t="s">
        <v>4300</v>
      </c>
      <c r="I1777" s="8"/>
      <c r="J1777" s="1"/>
      <c r="K1777" s="1" t="s">
        <v>21</v>
      </c>
      <c r="L1777" s="1"/>
      <c r="M1777" s="1"/>
      <c r="N1777" s="1"/>
      <c r="O1777" s="1"/>
      <c r="P1777" s="6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customFormat="false" ht="21.75" hidden="false" customHeight="true" outlineLevel="0" collapsed="false">
      <c r="A1778" s="4" t="n">
        <v>43493</v>
      </c>
      <c r="B1778" s="8" t="s">
        <v>532</v>
      </c>
      <c r="C1778" s="8" t="s">
        <v>15</v>
      </c>
      <c r="D1778" s="32" t="s">
        <v>43</v>
      </c>
      <c r="E1778" s="8" t="s">
        <v>109</v>
      </c>
      <c r="F1778" s="8" t="s">
        <v>3694</v>
      </c>
      <c r="G1778" s="8" t="n">
        <f aca="false">+593969926123</f>
        <v>593969926123</v>
      </c>
      <c r="H1778" s="8" t="s">
        <v>3695</v>
      </c>
      <c r="I1778" s="8"/>
      <c r="J1778" s="1"/>
      <c r="K1778" s="1" t="s">
        <v>21</v>
      </c>
      <c r="L1778" s="1"/>
      <c r="M1778" s="1"/>
      <c r="N1778" s="1"/>
      <c r="O1778" s="1"/>
      <c r="P1778" s="6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customFormat="false" ht="21.75" hidden="false" customHeight="true" outlineLevel="0" collapsed="false">
      <c r="A1779" s="4" t="n">
        <v>43493</v>
      </c>
      <c r="B1779" s="8" t="s">
        <v>532</v>
      </c>
      <c r="C1779" s="8" t="s">
        <v>15</v>
      </c>
      <c r="D1779" s="32" t="s">
        <v>43</v>
      </c>
      <c r="E1779" s="8" t="s">
        <v>109</v>
      </c>
      <c r="F1779" s="8" t="s">
        <v>4301</v>
      </c>
      <c r="G1779" s="8" t="n">
        <f aca="false">+5930986120955</f>
        <v>5930986120955</v>
      </c>
      <c r="H1779" s="8" t="s">
        <v>4302</v>
      </c>
      <c r="I1779" s="8"/>
      <c r="J1779" s="1"/>
      <c r="K1779" s="1" t="s">
        <v>21</v>
      </c>
      <c r="L1779" s="1"/>
      <c r="M1779" s="1"/>
      <c r="N1779" s="1"/>
      <c r="O1779" s="1"/>
      <c r="P1779" s="6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customFormat="false" ht="21.75" hidden="false" customHeight="true" outlineLevel="0" collapsed="false">
      <c r="A1780" s="4" t="n">
        <v>43493</v>
      </c>
      <c r="B1780" s="8" t="s">
        <v>532</v>
      </c>
      <c r="C1780" s="8" t="s">
        <v>15</v>
      </c>
      <c r="D1780" s="32" t="s">
        <v>43</v>
      </c>
      <c r="E1780" s="8" t="s">
        <v>109</v>
      </c>
      <c r="F1780" s="8" t="s">
        <v>4303</v>
      </c>
      <c r="G1780" s="8" t="n">
        <f aca="false">+593986949515</f>
        <v>593986949515</v>
      </c>
      <c r="H1780" s="8" t="s">
        <v>4304</v>
      </c>
      <c r="I1780" s="8"/>
      <c r="J1780" s="1"/>
      <c r="K1780" s="1" t="s">
        <v>21</v>
      </c>
      <c r="L1780" s="1"/>
      <c r="M1780" s="1"/>
      <c r="N1780" s="1"/>
      <c r="O1780" s="1"/>
      <c r="P1780" s="6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customFormat="false" ht="21.75" hidden="false" customHeight="true" outlineLevel="0" collapsed="false">
      <c r="A1781" s="4" t="n">
        <v>43493</v>
      </c>
      <c r="B1781" s="8" t="s">
        <v>532</v>
      </c>
      <c r="C1781" s="8" t="s">
        <v>15</v>
      </c>
      <c r="D1781" s="32" t="s">
        <v>43</v>
      </c>
      <c r="E1781" s="8" t="s">
        <v>109</v>
      </c>
      <c r="F1781" s="8" t="s">
        <v>4305</v>
      </c>
      <c r="G1781" s="8" t="n">
        <f aca="false">+593959555282</f>
        <v>593959555282</v>
      </c>
      <c r="H1781" s="8" t="s">
        <v>4306</v>
      </c>
      <c r="I1781" s="8"/>
      <c r="J1781" s="1"/>
      <c r="K1781" s="1" t="s">
        <v>21</v>
      </c>
      <c r="L1781" s="1"/>
      <c r="M1781" s="1"/>
      <c r="N1781" s="1"/>
      <c r="O1781" s="1"/>
      <c r="P1781" s="6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customFormat="false" ht="21.75" hidden="false" customHeight="true" outlineLevel="0" collapsed="false">
      <c r="A1782" s="4" t="n">
        <v>43493</v>
      </c>
      <c r="B1782" s="8" t="s">
        <v>532</v>
      </c>
      <c r="C1782" s="8" t="s">
        <v>15</v>
      </c>
      <c r="D1782" s="32" t="s">
        <v>43</v>
      </c>
      <c r="E1782" s="8" t="s">
        <v>109</v>
      </c>
      <c r="F1782" s="8" t="s">
        <v>4307</v>
      </c>
      <c r="G1782" s="8" t="n">
        <f aca="false">+593998084786</f>
        <v>593998084786</v>
      </c>
      <c r="H1782" s="8" t="s">
        <v>4308</v>
      </c>
      <c r="I1782" s="8"/>
      <c r="J1782" s="1"/>
      <c r="K1782" s="1" t="s">
        <v>21</v>
      </c>
      <c r="L1782" s="1"/>
      <c r="M1782" s="1"/>
      <c r="N1782" s="1"/>
      <c r="O1782" s="1"/>
      <c r="P1782" s="6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customFormat="false" ht="21.75" hidden="false" customHeight="true" outlineLevel="0" collapsed="false">
      <c r="A1783" s="4" t="n">
        <v>43493</v>
      </c>
      <c r="B1783" s="8" t="s">
        <v>532</v>
      </c>
      <c r="C1783" s="8" t="s">
        <v>15</v>
      </c>
      <c r="D1783" s="32" t="s">
        <v>43</v>
      </c>
      <c r="E1783" s="8" t="s">
        <v>109</v>
      </c>
      <c r="F1783" s="8" t="s">
        <v>4309</v>
      </c>
      <c r="G1783" s="8" t="n">
        <f aca="false">+593959963882</f>
        <v>593959963882</v>
      </c>
      <c r="H1783" s="8" t="s">
        <v>4310</v>
      </c>
      <c r="I1783" s="8"/>
      <c r="J1783" s="1"/>
      <c r="K1783" s="1" t="s">
        <v>21</v>
      </c>
      <c r="L1783" s="1"/>
      <c r="M1783" s="1"/>
      <c r="N1783" s="1"/>
      <c r="O1783" s="1"/>
      <c r="P1783" s="6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customFormat="false" ht="21.75" hidden="false" customHeight="true" outlineLevel="0" collapsed="false">
      <c r="A1784" s="4" t="n">
        <v>43493</v>
      </c>
      <c r="B1784" s="8" t="s">
        <v>532</v>
      </c>
      <c r="C1784" s="8" t="s">
        <v>15</v>
      </c>
      <c r="D1784" s="32" t="s">
        <v>43</v>
      </c>
      <c r="E1784" s="8" t="s">
        <v>109</v>
      </c>
      <c r="F1784" s="8" t="s">
        <v>4311</v>
      </c>
      <c r="G1784" s="8" t="n">
        <f aca="false">+5930959169409</f>
        <v>5930959169409</v>
      </c>
      <c r="H1784" s="8" t="s">
        <v>4312</v>
      </c>
      <c r="I1784" s="8"/>
      <c r="J1784" s="1"/>
      <c r="K1784" s="1" t="s">
        <v>21</v>
      </c>
      <c r="L1784" s="1"/>
      <c r="M1784" s="1"/>
      <c r="N1784" s="1"/>
      <c r="O1784" s="1"/>
      <c r="P1784" s="6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customFormat="false" ht="21.75" hidden="false" customHeight="true" outlineLevel="0" collapsed="false">
      <c r="A1785" s="4" t="n">
        <v>43493</v>
      </c>
      <c r="B1785" s="8" t="s">
        <v>127</v>
      </c>
      <c r="C1785" s="8" t="s">
        <v>15</v>
      </c>
      <c r="D1785" s="32" t="s">
        <v>43</v>
      </c>
      <c r="E1785" s="8" t="s">
        <v>883</v>
      </c>
      <c r="F1785" s="8" t="s">
        <v>4313</v>
      </c>
      <c r="G1785" s="8" t="n">
        <f aca="false">+5930999618971</f>
        <v>5930999618971</v>
      </c>
      <c r="H1785" s="8" t="s">
        <v>4314</v>
      </c>
      <c r="I1785" s="8"/>
      <c r="J1785" s="1"/>
      <c r="K1785" s="1" t="s">
        <v>21</v>
      </c>
      <c r="L1785" s="1"/>
      <c r="M1785" s="1"/>
      <c r="N1785" s="1"/>
      <c r="O1785" s="1"/>
      <c r="P1785" s="6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customFormat="false" ht="21.75" hidden="false" customHeight="true" outlineLevel="0" collapsed="false">
      <c r="A1786" s="4" t="n">
        <v>43493</v>
      </c>
      <c r="B1786" s="32" t="s">
        <v>127</v>
      </c>
      <c r="C1786" s="8" t="s">
        <v>15</v>
      </c>
      <c r="D1786" s="32" t="s">
        <v>43</v>
      </c>
      <c r="E1786" s="8" t="s">
        <v>44</v>
      </c>
      <c r="F1786" s="8" t="s">
        <v>4315</v>
      </c>
      <c r="G1786" s="8" t="n">
        <f aca="false">+593988933894</f>
        <v>593988933894</v>
      </c>
      <c r="H1786" s="8" t="s">
        <v>4316</v>
      </c>
      <c r="I1786" s="8"/>
      <c r="J1786" s="1"/>
      <c r="K1786" s="1" t="s">
        <v>21</v>
      </c>
      <c r="L1786" s="1"/>
      <c r="M1786" s="1"/>
      <c r="N1786" s="1"/>
      <c r="O1786" s="1"/>
      <c r="P1786" s="6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customFormat="false" ht="21.75" hidden="false" customHeight="true" outlineLevel="0" collapsed="false">
      <c r="A1787" s="4" t="n">
        <v>43493</v>
      </c>
      <c r="B1787" s="32" t="s">
        <v>127</v>
      </c>
      <c r="C1787" s="8" t="s">
        <v>15</v>
      </c>
      <c r="D1787" s="32" t="s">
        <v>43</v>
      </c>
      <c r="E1787" s="8" t="s">
        <v>44</v>
      </c>
      <c r="F1787" s="8" t="s">
        <v>4317</v>
      </c>
      <c r="G1787" s="8" t="n">
        <f aca="false">+593967677936</f>
        <v>593967677936</v>
      </c>
      <c r="H1787" s="8" t="s">
        <v>4318</v>
      </c>
      <c r="I1787" s="8"/>
      <c r="J1787" s="1"/>
      <c r="K1787" s="1" t="s">
        <v>21</v>
      </c>
      <c r="L1787" s="1"/>
      <c r="M1787" s="1"/>
      <c r="N1787" s="1"/>
      <c r="O1787" s="1"/>
      <c r="P1787" s="6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customFormat="false" ht="21.75" hidden="false" customHeight="true" outlineLevel="0" collapsed="false">
      <c r="A1788" s="4" t="n">
        <v>43493</v>
      </c>
      <c r="B1788" s="32" t="s">
        <v>127</v>
      </c>
      <c r="C1788" s="8" t="s">
        <v>15</v>
      </c>
      <c r="D1788" s="32" t="s">
        <v>43</v>
      </c>
      <c r="E1788" s="8" t="s">
        <v>44</v>
      </c>
      <c r="F1788" s="8" t="s">
        <v>4319</v>
      </c>
      <c r="G1788" s="8" t="n">
        <f aca="false">+593984641784</f>
        <v>593984641784</v>
      </c>
      <c r="H1788" s="8" t="s">
        <v>4320</v>
      </c>
      <c r="I1788" s="8"/>
      <c r="J1788" s="1"/>
      <c r="K1788" s="1" t="s">
        <v>21</v>
      </c>
      <c r="L1788" s="1"/>
      <c r="M1788" s="1"/>
      <c r="N1788" s="1"/>
      <c r="O1788" s="1"/>
      <c r="P1788" s="6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customFormat="false" ht="21.75" hidden="false" customHeight="true" outlineLevel="0" collapsed="false">
      <c r="A1789" s="4" t="n">
        <v>43493</v>
      </c>
      <c r="B1789" s="8" t="s">
        <v>127</v>
      </c>
      <c r="C1789" s="8" t="s">
        <v>15</v>
      </c>
      <c r="D1789" s="32" t="s">
        <v>43</v>
      </c>
      <c r="E1789" s="8" t="s">
        <v>109</v>
      </c>
      <c r="F1789" s="8" t="s">
        <v>4321</v>
      </c>
      <c r="G1789" s="8" t="n">
        <v>996970829</v>
      </c>
      <c r="H1789" s="8" t="s">
        <v>4322</v>
      </c>
      <c r="I1789" s="8"/>
      <c r="J1789" s="1"/>
      <c r="K1789" s="1" t="s">
        <v>21</v>
      </c>
      <c r="L1789" s="1"/>
      <c r="M1789" s="1"/>
      <c r="N1789" s="1"/>
      <c r="O1789" s="1"/>
      <c r="P1789" s="6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customFormat="false" ht="21.75" hidden="false" customHeight="true" outlineLevel="0" collapsed="false">
      <c r="A1790" s="4" t="n">
        <v>43493</v>
      </c>
      <c r="B1790" s="8" t="s">
        <v>127</v>
      </c>
      <c r="C1790" s="8" t="s">
        <v>15</v>
      </c>
      <c r="D1790" s="32" t="s">
        <v>43</v>
      </c>
      <c r="E1790" s="8" t="s">
        <v>109</v>
      </c>
      <c r="F1790" s="8" t="s">
        <v>4323</v>
      </c>
      <c r="G1790" s="8" t="n">
        <v>982793359</v>
      </c>
      <c r="H1790" s="8" t="s">
        <v>4324</v>
      </c>
      <c r="I1790" s="8"/>
      <c r="J1790" s="1"/>
      <c r="K1790" s="1" t="s">
        <v>21</v>
      </c>
      <c r="L1790" s="1"/>
      <c r="M1790" s="1"/>
      <c r="N1790" s="1"/>
      <c r="O1790" s="1"/>
      <c r="P1790" s="6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customFormat="false" ht="21.75" hidden="false" customHeight="true" outlineLevel="0" collapsed="false">
      <c r="A1791" s="4" t="n">
        <v>43493</v>
      </c>
      <c r="B1791" s="8" t="s">
        <v>127</v>
      </c>
      <c r="C1791" s="8" t="s">
        <v>15</v>
      </c>
      <c r="D1791" s="32" t="s">
        <v>43</v>
      </c>
      <c r="E1791" s="8" t="s">
        <v>109</v>
      </c>
      <c r="F1791" s="8" t="s">
        <v>4325</v>
      </c>
      <c r="G1791" s="8" t="n">
        <f aca="false">+593992459078</f>
        <v>593992459078</v>
      </c>
      <c r="H1791" s="8" t="s">
        <v>4326</v>
      </c>
      <c r="I1791" s="8"/>
      <c r="J1791" s="1"/>
      <c r="K1791" s="1" t="s">
        <v>21</v>
      </c>
      <c r="L1791" s="1"/>
      <c r="M1791" s="1"/>
      <c r="N1791" s="1"/>
      <c r="O1791" s="1"/>
      <c r="P1791" s="6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customFormat="false" ht="21.75" hidden="false" customHeight="true" outlineLevel="0" collapsed="false">
      <c r="A1792" s="4" t="n">
        <v>43493</v>
      </c>
      <c r="B1792" s="8" t="s">
        <v>127</v>
      </c>
      <c r="C1792" s="8" t="s">
        <v>15</v>
      </c>
      <c r="D1792" s="32" t="s">
        <v>43</v>
      </c>
      <c r="E1792" s="8" t="s">
        <v>109</v>
      </c>
      <c r="F1792" s="8" t="s">
        <v>4327</v>
      </c>
      <c r="G1792" s="8" t="n">
        <f aca="false">+593998801854</f>
        <v>593998801854</v>
      </c>
      <c r="H1792" s="8" t="s">
        <v>4328</v>
      </c>
      <c r="I1792" s="8"/>
      <c r="J1792" s="1"/>
      <c r="K1792" s="1" t="s">
        <v>21</v>
      </c>
      <c r="L1792" s="1"/>
      <c r="M1792" s="1"/>
      <c r="N1792" s="1"/>
      <c r="O1792" s="1"/>
      <c r="P1792" s="6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customFormat="false" ht="21.75" hidden="false" customHeight="true" outlineLevel="0" collapsed="false">
      <c r="A1793" s="4" t="n">
        <v>43493</v>
      </c>
      <c r="B1793" s="8" t="s">
        <v>127</v>
      </c>
      <c r="C1793" s="8" t="s">
        <v>15</v>
      </c>
      <c r="D1793" s="32" t="s">
        <v>43</v>
      </c>
      <c r="E1793" s="8" t="s">
        <v>109</v>
      </c>
      <c r="F1793" s="8" t="s">
        <v>4329</v>
      </c>
      <c r="G1793" s="8" t="n">
        <f aca="false">+593939100013</f>
        <v>593939100013</v>
      </c>
      <c r="H1793" s="8" t="s">
        <v>4330</v>
      </c>
      <c r="I1793" s="8"/>
      <c r="J1793" s="1"/>
      <c r="K1793" s="1" t="s">
        <v>496</v>
      </c>
      <c r="L1793" s="1"/>
      <c r="M1793" s="1"/>
      <c r="N1793" s="1"/>
      <c r="O1793" s="1"/>
      <c r="P1793" s="6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customFormat="false" ht="21.75" hidden="false" customHeight="true" outlineLevel="0" collapsed="false">
      <c r="A1794" s="4" t="n">
        <v>43493</v>
      </c>
      <c r="B1794" s="32" t="s">
        <v>127</v>
      </c>
      <c r="C1794" s="8" t="s">
        <v>15</v>
      </c>
      <c r="D1794" s="8" t="s">
        <v>43</v>
      </c>
      <c r="E1794" s="8" t="s">
        <v>109</v>
      </c>
      <c r="F1794" s="39" t="s">
        <v>4331</v>
      </c>
      <c r="G1794" s="32" t="n">
        <v>993569485</v>
      </c>
      <c r="H1794" s="32" t="s">
        <v>4332</v>
      </c>
      <c r="I1794" s="32"/>
      <c r="J1794" s="1"/>
      <c r="K1794" s="1" t="s">
        <v>21</v>
      </c>
      <c r="L1794" s="1"/>
      <c r="M1794" s="1"/>
      <c r="N1794" s="1"/>
      <c r="O1794" s="1"/>
      <c r="P1794" s="6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customFormat="false" ht="21.75" hidden="false" customHeight="true" outlineLevel="0" collapsed="false">
      <c r="A1795" s="4" t="n">
        <v>43493</v>
      </c>
      <c r="B1795" s="8" t="s">
        <v>1114</v>
      </c>
      <c r="C1795" s="8" t="s">
        <v>26</v>
      </c>
      <c r="D1795" s="32" t="s">
        <v>43</v>
      </c>
      <c r="E1795" s="8" t="s">
        <v>883</v>
      </c>
      <c r="F1795" s="8" t="s">
        <v>4333</v>
      </c>
      <c r="G1795" s="8" t="n">
        <f aca="false">+593979848415</f>
        <v>593979848415</v>
      </c>
      <c r="H1795" s="8" t="s">
        <v>4334</v>
      </c>
      <c r="I1795" s="8"/>
      <c r="J1795" s="1"/>
      <c r="K1795" s="1" t="s">
        <v>21</v>
      </c>
      <c r="L1795" s="1"/>
      <c r="M1795" s="1"/>
      <c r="N1795" s="1"/>
      <c r="O1795" s="1"/>
      <c r="P1795" s="6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customFormat="false" ht="21.75" hidden="false" customHeight="true" outlineLevel="0" collapsed="false">
      <c r="A1796" s="4" t="n">
        <v>43493</v>
      </c>
      <c r="B1796" s="8" t="s">
        <v>1114</v>
      </c>
      <c r="C1796" s="8" t="s">
        <v>15</v>
      </c>
      <c r="D1796" s="32" t="s">
        <v>43</v>
      </c>
      <c r="E1796" s="8" t="s">
        <v>883</v>
      </c>
      <c r="F1796" s="8" t="s">
        <v>4335</v>
      </c>
      <c r="G1796" s="8" t="n">
        <f aca="false">+593997955894</f>
        <v>593997955894</v>
      </c>
      <c r="H1796" s="8" t="s">
        <v>4336</v>
      </c>
      <c r="I1796" s="8"/>
      <c r="J1796" s="1"/>
      <c r="K1796" s="1" t="s">
        <v>21</v>
      </c>
      <c r="L1796" s="1"/>
      <c r="M1796" s="1"/>
      <c r="N1796" s="1"/>
      <c r="O1796" s="1"/>
      <c r="P1796" s="6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customFormat="false" ht="21.75" hidden="false" customHeight="true" outlineLevel="0" collapsed="false">
      <c r="A1797" s="4" t="n">
        <v>43493</v>
      </c>
      <c r="B1797" s="8" t="s">
        <v>1114</v>
      </c>
      <c r="C1797" s="8" t="s">
        <v>15</v>
      </c>
      <c r="D1797" s="32" t="s">
        <v>43</v>
      </c>
      <c r="E1797" s="8" t="s">
        <v>883</v>
      </c>
      <c r="F1797" s="8" t="s">
        <v>4337</v>
      </c>
      <c r="G1797" s="8" t="n">
        <f aca="false">+593992228476</f>
        <v>593992228476</v>
      </c>
      <c r="H1797" s="8" t="s">
        <v>4338</v>
      </c>
      <c r="I1797" s="8"/>
      <c r="J1797" s="1"/>
      <c r="K1797" s="1" t="s">
        <v>21</v>
      </c>
      <c r="L1797" s="1"/>
      <c r="M1797" s="1"/>
      <c r="N1797" s="1"/>
      <c r="O1797" s="1"/>
      <c r="P1797" s="6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customFormat="false" ht="21.75" hidden="false" customHeight="true" outlineLevel="0" collapsed="false">
      <c r="A1798" s="4" t="n">
        <v>43493</v>
      </c>
      <c r="B1798" s="8" t="s">
        <v>1114</v>
      </c>
      <c r="C1798" s="8" t="s">
        <v>15</v>
      </c>
      <c r="D1798" s="32" t="s">
        <v>43</v>
      </c>
      <c r="E1798" s="8" t="s">
        <v>883</v>
      </c>
      <c r="F1798" s="8" t="s">
        <v>4257</v>
      </c>
      <c r="G1798" s="8" t="n">
        <f aca="false">+593999490611</f>
        <v>593999490611</v>
      </c>
      <c r="H1798" s="8" t="s">
        <v>4258</v>
      </c>
      <c r="I1798" s="8"/>
      <c r="J1798" s="1"/>
      <c r="K1798" s="1" t="s">
        <v>21</v>
      </c>
      <c r="L1798" s="1"/>
      <c r="M1798" s="1"/>
      <c r="N1798" s="1"/>
      <c r="O1798" s="1"/>
      <c r="P1798" s="6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customFormat="false" ht="21.75" hidden="false" customHeight="true" outlineLevel="0" collapsed="false">
      <c r="A1799" s="4" t="n">
        <v>43493</v>
      </c>
      <c r="B1799" s="8" t="s">
        <v>1114</v>
      </c>
      <c r="C1799" s="8" t="s">
        <v>15</v>
      </c>
      <c r="D1799" s="32" t="s">
        <v>43</v>
      </c>
      <c r="E1799" s="8" t="s">
        <v>883</v>
      </c>
      <c r="F1799" s="8" t="s">
        <v>4339</v>
      </c>
      <c r="G1799" s="8" t="n">
        <f aca="false">+593986570202</f>
        <v>593986570202</v>
      </c>
      <c r="H1799" s="8" t="s">
        <v>4340</v>
      </c>
      <c r="I1799" s="8"/>
      <c r="J1799" s="1"/>
      <c r="K1799" s="1" t="s">
        <v>21</v>
      </c>
      <c r="L1799" s="1"/>
      <c r="M1799" s="1"/>
      <c r="N1799" s="1"/>
      <c r="O1799" s="1"/>
      <c r="P1799" s="6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customFormat="false" ht="21.75" hidden="false" customHeight="true" outlineLevel="0" collapsed="false">
      <c r="A1800" s="4" t="n">
        <v>43493</v>
      </c>
      <c r="B1800" s="8" t="s">
        <v>1114</v>
      </c>
      <c r="C1800" s="8" t="s">
        <v>15</v>
      </c>
      <c r="D1800" s="32" t="s">
        <v>43</v>
      </c>
      <c r="E1800" s="8" t="s">
        <v>883</v>
      </c>
      <c r="F1800" s="8" t="s">
        <v>4341</v>
      </c>
      <c r="G1800" s="8" t="n">
        <f aca="false">+593996736152</f>
        <v>593996736152</v>
      </c>
      <c r="H1800" s="8" t="s">
        <v>4342</v>
      </c>
      <c r="I1800" s="8"/>
      <c r="J1800" s="1"/>
      <c r="K1800" s="1" t="s">
        <v>21</v>
      </c>
      <c r="L1800" s="1"/>
      <c r="M1800" s="1"/>
      <c r="N1800" s="1"/>
      <c r="O1800" s="1"/>
      <c r="P1800" s="6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customFormat="false" ht="21.75" hidden="false" customHeight="true" outlineLevel="0" collapsed="false">
      <c r="A1801" s="4" t="n">
        <v>43493</v>
      </c>
      <c r="B1801" s="8" t="s">
        <v>1114</v>
      </c>
      <c r="C1801" s="8" t="s">
        <v>15</v>
      </c>
      <c r="D1801" s="32" t="s">
        <v>43</v>
      </c>
      <c r="E1801" s="8" t="s">
        <v>883</v>
      </c>
      <c r="F1801" s="8" t="s">
        <v>4343</v>
      </c>
      <c r="G1801" s="8" t="n">
        <f aca="false">+593979686045</f>
        <v>593979686045</v>
      </c>
      <c r="H1801" s="8" t="s">
        <v>4344</v>
      </c>
      <c r="I1801" s="8"/>
      <c r="J1801" s="1"/>
      <c r="K1801" s="1" t="s">
        <v>21</v>
      </c>
      <c r="L1801" s="1"/>
      <c r="M1801" s="1"/>
      <c r="N1801" s="1"/>
      <c r="O1801" s="1"/>
      <c r="P1801" s="6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customFormat="false" ht="21.75" hidden="false" customHeight="true" outlineLevel="0" collapsed="false">
      <c r="A1802" s="4" t="n">
        <v>43493</v>
      </c>
      <c r="B1802" s="32" t="s">
        <v>1114</v>
      </c>
      <c r="C1802" s="8" t="s">
        <v>15</v>
      </c>
      <c r="D1802" s="8" t="s">
        <v>43</v>
      </c>
      <c r="E1802" s="8" t="s">
        <v>883</v>
      </c>
      <c r="F1802" s="32"/>
      <c r="G1802" s="32" t="n">
        <v>981024159</v>
      </c>
      <c r="H1802" s="40" t="s">
        <v>4345</v>
      </c>
      <c r="I1802" s="40"/>
      <c r="J1802" s="1"/>
      <c r="K1802" s="1" t="s">
        <v>428</v>
      </c>
      <c r="L1802" s="1"/>
      <c r="M1802" s="1"/>
      <c r="N1802" s="1"/>
      <c r="O1802" s="1"/>
      <c r="P1802" s="6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customFormat="false" ht="21.75" hidden="false" customHeight="true" outlineLevel="0" collapsed="false">
      <c r="A1803" s="4" t="n">
        <v>43493</v>
      </c>
      <c r="B1803" s="32" t="s">
        <v>1114</v>
      </c>
      <c r="C1803" s="8" t="s">
        <v>15</v>
      </c>
      <c r="D1803" s="8" t="s">
        <v>43</v>
      </c>
      <c r="E1803" s="8" t="s">
        <v>883</v>
      </c>
      <c r="F1803" s="39" t="s">
        <v>4346</v>
      </c>
      <c r="G1803" s="32" t="n">
        <v>969517762</v>
      </c>
      <c r="H1803" s="32" t="s">
        <v>4347</v>
      </c>
      <c r="I1803" s="32"/>
      <c r="J1803" s="1"/>
      <c r="K1803" s="1" t="s">
        <v>21</v>
      </c>
      <c r="L1803" s="1"/>
      <c r="M1803" s="1"/>
      <c r="N1803" s="1"/>
      <c r="O1803" s="1"/>
      <c r="P1803" s="6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customFormat="false" ht="21.75" hidden="false" customHeight="true" outlineLevel="0" collapsed="false">
      <c r="A1804" s="4" t="n">
        <v>43493</v>
      </c>
      <c r="B1804" s="8" t="s">
        <v>1114</v>
      </c>
      <c r="C1804" s="8" t="s">
        <v>15</v>
      </c>
      <c r="D1804" s="32" t="s">
        <v>43</v>
      </c>
      <c r="E1804" s="8" t="s">
        <v>109</v>
      </c>
      <c r="F1804" s="8" t="s">
        <v>4348</v>
      </c>
      <c r="G1804" s="8" t="n">
        <f aca="false">+593993249378</f>
        <v>593993249378</v>
      </c>
      <c r="H1804" s="8" t="s">
        <v>4349</v>
      </c>
      <c r="I1804" s="8"/>
      <c r="J1804" s="1"/>
      <c r="K1804" s="1" t="s">
        <v>1144</v>
      </c>
      <c r="L1804" s="1"/>
      <c r="M1804" s="1"/>
      <c r="N1804" s="1"/>
      <c r="O1804" s="1"/>
      <c r="P1804" s="6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customFormat="false" ht="21.75" hidden="false" customHeight="true" outlineLevel="0" collapsed="false">
      <c r="A1805" s="4" t="n">
        <v>43493</v>
      </c>
      <c r="B1805" s="8" t="s">
        <v>1114</v>
      </c>
      <c r="C1805" s="8" t="s">
        <v>15</v>
      </c>
      <c r="D1805" s="32" t="s">
        <v>43</v>
      </c>
      <c r="E1805" s="8" t="s">
        <v>109</v>
      </c>
      <c r="F1805" s="8" t="s">
        <v>4350</v>
      </c>
      <c r="G1805" s="8" t="n">
        <f aca="false">+59362004519</f>
        <v>59362004519</v>
      </c>
      <c r="H1805" s="8" t="s">
        <v>4351</v>
      </c>
      <c r="I1805" s="8"/>
      <c r="J1805" s="1"/>
      <c r="K1805" s="1" t="s">
        <v>4352</v>
      </c>
      <c r="L1805" s="1"/>
      <c r="M1805" s="1"/>
      <c r="N1805" s="1"/>
      <c r="O1805" s="1"/>
      <c r="P1805" s="6" t="s">
        <v>3289</v>
      </c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customFormat="false" ht="21.75" hidden="false" customHeight="true" outlineLevel="0" collapsed="false">
      <c r="A1806" s="4" t="n">
        <v>43493</v>
      </c>
      <c r="B1806" s="8" t="s">
        <v>1114</v>
      </c>
      <c r="C1806" s="8" t="s">
        <v>15</v>
      </c>
      <c r="D1806" s="32" t="s">
        <v>43</v>
      </c>
      <c r="E1806" s="8" t="s">
        <v>109</v>
      </c>
      <c r="F1806" s="8" t="s">
        <v>4353</v>
      </c>
      <c r="G1806" s="8" t="n">
        <f aca="false">+593996314040</f>
        <v>593996314040</v>
      </c>
      <c r="H1806" s="8" t="s">
        <v>4354</v>
      </c>
      <c r="I1806" s="8"/>
      <c r="J1806" s="1"/>
      <c r="K1806" s="1" t="s">
        <v>21</v>
      </c>
      <c r="L1806" s="1"/>
      <c r="M1806" s="1"/>
      <c r="N1806" s="1"/>
      <c r="O1806" s="1"/>
      <c r="P1806" s="6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customFormat="false" ht="21.75" hidden="false" customHeight="true" outlineLevel="0" collapsed="false">
      <c r="A1807" s="4" t="n">
        <v>43493</v>
      </c>
      <c r="B1807" s="8" t="s">
        <v>1114</v>
      </c>
      <c r="C1807" s="8" t="s">
        <v>15</v>
      </c>
      <c r="D1807" s="32" t="s">
        <v>43</v>
      </c>
      <c r="E1807" s="8" t="s">
        <v>109</v>
      </c>
      <c r="F1807" s="8" t="s">
        <v>4355</v>
      </c>
      <c r="G1807" s="8" t="n">
        <f aca="false">+593980445292</f>
        <v>593980445292</v>
      </c>
      <c r="H1807" s="8" t="s">
        <v>4356</v>
      </c>
      <c r="I1807" s="8"/>
      <c r="J1807" s="1"/>
      <c r="K1807" s="1" t="s">
        <v>21</v>
      </c>
      <c r="L1807" s="1"/>
      <c r="M1807" s="1"/>
      <c r="N1807" s="1"/>
      <c r="O1807" s="1"/>
      <c r="P1807" s="6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customFormat="false" ht="21.75" hidden="false" customHeight="true" outlineLevel="0" collapsed="false">
      <c r="A1808" s="4" t="n">
        <v>43493</v>
      </c>
      <c r="B1808" s="8" t="s">
        <v>1114</v>
      </c>
      <c r="C1808" s="8" t="s">
        <v>15</v>
      </c>
      <c r="D1808" s="32" t="s">
        <v>43</v>
      </c>
      <c r="E1808" s="8" t="s">
        <v>109</v>
      </c>
      <c r="F1808" s="8" t="s">
        <v>4357</v>
      </c>
      <c r="G1808" s="8" t="n">
        <f aca="false">+593959879413</f>
        <v>593959879413</v>
      </c>
      <c r="H1808" s="8" t="s">
        <v>4358</v>
      </c>
      <c r="I1808" s="8"/>
      <c r="J1808" s="1"/>
      <c r="K1808" s="1" t="s">
        <v>21</v>
      </c>
      <c r="L1808" s="1"/>
      <c r="M1808" s="1"/>
      <c r="N1808" s="1"/>
      <c r="O1808" s="1"/>
      <c r="P1808" s="6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customFormat="false" ht="21.75" hidden="false" customHeight="true" outlineLevel="0" collapsed="false">
      <c r="A1809" s="4" t="n">
        <v>43493</v>
      </c>
      <c r="B1809" s="8" t="s">
        <v>1114</v>
      </c>
      <c r="C1809" s="8" t="s">
        <v>15</v>
      </c>
      <c r="D1809" s="32" t="s">
        <v>43</v>
      </c>
      <c r="E1809" s="8" t="s">
        <v>109</v>
      </c>
      <c r="F1809" s="8" t="s">
        <v>4359</v>
      </c>
      <c r="G1809" s="8" t="n">
        <f aca="false">+5930981024159</f>
        <v>5930981024159</v>
      </c>
      <c r="H1809" s="8" t="s">
        <v>4345</v>
      </c>
      <c r="I1809" s="8"/>
      <c r="J1809" s="1"/>
      <c r="K1809" s="1" t="s">
        <v>21</v>
      </c>
      <c r="L1809" s="1"/>
      <c r="M1809" s="1"/>
      <c r="N1809" s="1"/>
      <c r="O1809" s="1"/>
      <c r="P1809" s="6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customFormat="false" ht="21.75" hidden="false" customHeight="true" outlineLevel="0" collapsed="false">
      <c r="A1810" s="4" t="n">
        <v>43493</v>
      </c>
      <c r="B1810" s="8" t="s">
        <v>1114</v>
      </c>
      <c r="C1810" s="8" t="s">
        <v>15</v>
      </c>
      <c r="D1810" s="32" t="s">
        <v>43</v>
      </c>
      <c r="E1810" s="8" t="s">
        <v>109</v>
      </c>
      <c r="F1810" s="8" t="s">
        <v>4360</v>
      </c>
      <c r="G1810" s="8" t="n">
        <f aca="false">+593995604595</f>
        <v>593995604595</v>
      </c>
      <c r="H1810" s="8" t="s">
        <v>4361</v>
      </c>
      <c r="I1810" s="8"/>
      <c r="J1810" s="1"/>
      <c r="K1810" s="1" t="s">
        <v>21</v>
      </c>
      <c r="L1810" s="1"/>
      <c r="M1810" s="1"/>
      <c r="N1810" s="1"/>
      <c r="O1810" s="1"/>
      <c r="P1810" s="6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customFormat="false" ht="21.75" hidden="false" customHeight="true" outlineLevel="0" collapsed="false">
      <c r="A1811" s="4" t="n">
        <v>43493</v>
      </c>
      <c r="B1811" s="8" t="s">
        <v>1114</v>
      </c>
      <c r="C1811" s="8" t="s">
        <v>15</v>
      </c>
      <c r="D1811" s="32" t="s">
        <v>43</v>
      </c>
      <c r="E1811" s="8" t="s">
        <v>109</v>
      </c>
      <c r="F1811" s="8" t="s">
        <v>4362</v>
      </c>
      <c r="G1811" s="8" t="n">
        <v>984022486</v>
      </c>
      <c r="H1811" s="8" t="s">
        <v>4363</v>
      </c>
      <c r="I1811" s="8"/>
      <c r="J1811" s="1"/>
      <c r="K1811" s="1" t="s">
        <v>21</v>
      </c>
      <c r="L1811" s="1"/>
      <c r="M1811" s="1"/>
      <c r="N1811" s="1"/>
      <c r="O1811" s="1"/>
      <c r="P1811" s="6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customFormat="false" ht="21.75" hidden="false" customHeight="true" outlineLevel="0" collapsed="false">
      <c r="A1812" s="4" t="n">
        <v>43493</v>
      </c>
      <c r="B1812" s="8" t="s">
        <v>1114</v>
      </c>
      <c r="C1812" s="8" t="s">
        <v>15</v>
      </c>
      <c r="D1812" s="32" t="s">
        <v>43</v>
      </c>
      <c r="E1812" s="8" t="s">
        <v>109</v>
      </c>
      <c r="F1812" s="8" t="s">
        <v>4364</v>
      </c>
      <c r="G1812" s="8" t="n">
        <f aca="false">+593042983252</f>
        <v>593042983252</v>
      </c>
      <c r="H1812" s="8" t="s">
        <v>4365</v>
      </c>
      <c r="I1812" s="8"/>
      <c r="J1812" s="1"/>
      <c r="K1812" s="1" t="s">
        <v>1437</v>
      </c>
      <c r="L1812" s="1"/>
      <c r="M1812" s="1"/>
      <c r="N1812" s="1"/>
      <c r="O1812" s="1"/>
      <c r="P1812" s="6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customFormat="false" ht="21.75" hidden="false" customHeight="true" outlineLevel="0" collapsed="false">
      <c r="A1813" s="4" t="n">
        <v>43493</v>
      </c>
      <c r="B1813" s="8" t="s">
        <v>1114</v>
      </c>
      <c r="C1813" s="8" t="s">
        <v>15</v>
      </c>
      <c r="D1813" s="32" t="s">
        <v>43</v>
      </c>
      <c r="E1813" s="8" t="s">
        <v>109</v>
      </c>
      <c r="F1813" s="8" t="s">
        <v>4366</v>
      </c>
      <c r="G1813" s="8" t="n">
        <f aca="false">+593992202582</f>
        <v>593992202582</v>
      </c>
      <c r="H1813" s="8" t="s">
        <v>4367</v>
      </c>
      <c r="I1813" s="8"/>
      <c r="J1813" s="1"/>
      <c r="K1813" s="1" t="s">
        <v>4368</v>
      </c>
      <c r="L1813" s="1"/>
      <c r="M1813" s="1"/>
      <c r="N1813" s="1"/>
      <c r="O1813" s="1"/>
      <c r="P1813" s="6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customFormat="false" ht="21.75" hidden="false" customHeight="true" outlineLevel="0" collapsed="false">
      <c r="A1814" s="4" t="n">
        <v>43493</v>
      </c>
      <c r="B1814" s="8" t="s">
        <v>1114</v>
      </c>
      <c r="C1814" s="8" t="s">
        <v>15</v>
      </c>
      <c r="D1814" s="32" t="s">
        <v>43</v>
      </c>
      <c r="E1814" s="8" t="s">
        <v>109</v>
      </c>
      <c r="F1814" s="8" t="s">
        <v>4369</v>
      </c>
      <c r="G1814" s="8" t="n">
        <f aca="false">+593982775388</f>
        <v>593982775388</v>
      </c>
      <c r="H1814" s="8" t="s">
        <v>4370</v>
      </c>
      <c r="I1814" s="8"/>
      <c r="J1814" s="1"/>
      <c r="K1814" s="1" t="s">
        <v>21</v>
      </c>
      <c r="L1814" s="1"/>
      <c r="M1814" s="1"/>
      <c r="N1814" s="1"/>
      <c r="O1814" s="1"/>
      <c r="P1814" s="6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customFormat="false" ht="21.75" hidden="false" customHeight="true" outlineLevel="0" collapsed="false">
      <c r="A1815" s="4" t="n">
        <v>43493</v>
      </c>
      <c r="B1815" s="8" t="s">
        <v>1114</v>
      </c>
      <c r="C1815" s="8" t="s">
        <v>15</v>
      </c>
      <c r="D1815" s="32" t="s">
        <v>43</v>
      </c>
      <c r="E1815" s="8" t="s">
        <v>109</v>
      </c>
      <c r="F1815" s="8" t="s">
        <v>4371</v>
      </c>
      <c r="G1815" s="8" t="n">
        <f aca="false">+5930988697698</f>
        <v>5930988697698</v>
      </c>
      <c r="H1815" s="8" t="s">
        <v>4372</v>
      </c>
      <c r="I1815" s="8"/>
      <c r="J1815" s="1"/>
      <c r="K1815" s="1" t="s">
        <v>21</v>
      </c>
      <c r="L1815" s="1"/>
      <c r="M1815" s="1"/>
      <c r="N1815" s="1"/>
      <c r="O1815" s="1"/>
      <c r="P1815" s="6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customFormat="false" ht="21.75" hidden="false" customHeight="true" outlineLevel="0" collapsed="false">
      <c r="A1816" s="4" t="n">
        <v>43493</v>
      </c>
      <c r="B1816" s="8" t="s">
        <v>1114</v>
      </c>
      <c r="C1816" s="8" t="s">
        <v>15</v>
      </c>
      <c r="D1816" s="32" t="s">
        <v>43</v>
      </c>
      <c r="E1816" s="8" t="s">
        <v>109</v>
      </c>
      <c r="F1816" s="8" t="s">
        <v>4373</v>
      </c>
      <c r="G1816" s="8" t="n">
        <f aca="false">+593996191140</f>
        <v>593996191140</v>
      </c>
      <c r="H1816" s="8" t="s">
        <v>4374</v>
      </c>
      <c r="I1816" s="8"/>
      <c r="J1816" s="1"/>
      <c r="K1816" s="1" t="s">
        <v>21</v>
      </c>
      <c r="L1816" s="1"/>
      <c r="M1816" s="1"/>
      <c r="N1816" s="1"/>
      <c r="O1816" s="1"/>
      <c r="P1816" s="6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customFormat="false" ht="21.75" hidden="false" customHeight="true" outlineLevel="0" collapsed="false">
      <c r="A1817" s="4" t="n">
        <v>43493</v>
      </c>
      <c r="B1817" s="8" t="s">
        <v>1114</v>
      </c>
      <c r="C1817" s="8" t="s">
        <v>26</v>
      </c>
      <c r="D1817" s="32" t="s">
        <v>43</v>
      </c>
      <c r="E1817" s="8" t="s">
        <v>109</v>
      </c>
      <c r="F1817" s="8" t="s">
        <v>3551</v>
      </c>
      <c r="G1817" s="8" t="n">
        <f aca="false">+593939170826</f>
        <v>593939170826</v>
      </c>
      <c r="H1817" s="8" t="s">
        <v>3552</v>
      </c>
      <c r="I1817" s="8"/>
      <c r="J1817" s="1"/>
      <c r="K1817" s="1" t="s">
        <v>21</v>
      </c>
      <c r="L1817" s="1"/>
      <c r="M1817" s="1"/>
      <c r="N1817" s="1"/>
      <c r="O1817" s="1"/>
      <c r="P1817" s="6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customFormat="false" ht="21.75" hidden="false" customHeight="true" outlineLevel="0" collapsed="false">
      <c r="A1818" s="4" t="n">
        <v>43493</v>
      </c>
      <c r="B1818" s="32" t="s">
        <v>1114</v>
      </c>
      <c r="C1818" s="8" t="s">
        <v>15</v>
      </c>
      <c r="D1818" s="8" t="s">
        <v>43</v>
      </c>
      <c r="E1818" s="8" t="s">
        <v>109</v>
      </c>
      <c r="F1818" s="39" t="s">
        <v>4375</v>
      </c>
      <c r="G1818" s="32" t="n">
        <v>994189018</v>
      </c>
      <c r="H1818" s="32" t="s">
        <v>4376</v>
      </c>
      <c r="I1818" s="32"/>
      <c r="J1818" s="1"/>
      <c r="K1818" s="1" t="s">
        <v>4377</v>
      </c>
      <c r="L1818" s="1"/>
      <c r="M1818" s="1"/>
      <c r="N1818" s="1"/>
      <c r="O1818" s="1"/>
      <c r="P1818" s="6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customFormat="false" ht="21.75" hidden="false" customHeight="true" outlineLevel="0" collapsed="false">
      <c r="A1819" s="4" t="n">
        <v>43493</v>
      </c>
      <c r="B1819" s="32" t="s">
        <v>1114</v>
      </c>
      <c r="C1819" s="8" t="s">
        <v>15</v>
      </c>
      <c r="D1819" s="8" t="s">
        <v>43</v>
      </c>
      <c r="E1819" s="8" t="s">
        <v>109</v>
      </c>
      <c r="F1819" s="39" t="s">
        <v>4378</v>
      </c>
      <c r="G1819" s="32" t="n">
        <v>981832783</v>
      </c>
      <c r="H1819" s="32" t="s">
        <v>4379</v>
      </c>
      <c r="I1819" s="32"/>
      <c r="J1819" s="1"/>
      <c r="K1819" s="1" t="s">
        <v>21</v>
      </c>
      <c r="L1819" s="1"/>
      <c r="M1819" s="1"/>
      <c r="N1819" s="1"/>
      <c r="O1819" s="1"/>
      <c r="P1819" s="6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customFormat="false" ht="21.75" hidden="false" customHeight="true" outlineLevel="0" collapsed="false">
      <c r="A1820" s="4" t="n">
        <v>43493</v>
      </c>
      <c r="B1820" s="8" t="s">
        <v>415</v>
      </c>
      <c r="C1820" s="8" t="s">
        <v>15</v>
      </c>
      <c r="D1820" s="32" t="s">
        <v>43</v>
      </c>
      <c r="E1820" s="8" t="s">
        <v>883</v>
      </c>
      <c r="F1820" s="8" t="s">
        <v>4145</v>
      </c>
      <c r="G1820" s="8" t="n">
        <f aca="false">+593988596435</f>
        <v>593988596435</v>
      </c>
      <c r="H1820" s="8" t="s">
        <v>4146</v>
      </c>
      <c r="I1820" s="8"/>
      <c r="J1820" s="1"/>
      <c r="K1820" s="1" t="s">
        <v>21</v>
      </c>
      <c r="L1820" s="1"/>
      <c r="M1820" s="1"/>
      <c r="N1820" s="1"/>
      <c r="O1820" s="1"/>
      <c r="P1820" s="6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customFormat="false" ht="21.75" hidden="false" customHeight="true" outlineLevel="0" collapsed="false">
      <c r="A1821" s="4" t="n">
        <v>43493</v>
      </c>
      <c r="B1821" s="8" t="s">
        <v>415</v>
      </c>
      <c r="C1821" s="8" t="s">
        <v>15</v>
      </c>
      <c r="D1821" s="32" t="s">
        <v>43</v>
      </c>
      <c r="E1821" s="8" t="s">
        <v>883</v>
      </c>
      <c r="F1821" s="8" t="s">
        <v>4380</v>
      </c>
      <c r="G1821" s="8" t="n">
        <f aca="false">+5930959603388</f>
        <v>5930959603388</v>
      </c>
      <c r="H1821" s="8" t="s">
        <v>4381</v>
      </c>
      <c r="I1821" s="8"/>
      <c r="J1821" s="1"/>
      <c r="K1821" s="1" t="s">
        <v>4382</v>
      </c>
      <c r="L1821" s="1"/>
      <c r="M1821" s="1"/>
      <c r="N1821" s="1"/>
      <c r="O1821" s="1"/>
      <c r="P1821" s="6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customFormat="false" ht="21.75" hidden="false" customHeight="true" outlineLevel="0" collapsed="false">
      <c r="A1822" s="4" t="n">
        <v>43493</v>
      </c>
      <c r="B1822" s="32" t="s">
        <v>415</v>
      </c>
      <c r="C1822" s="8" t="s">
        <v>26</v>
      </c>
      <c r="D1822" s="32" t="s">
        <v>43</v>
      </c>
      <c r="E1822" s="8" t="s">
        <v>44</v>
      </c>
      <c r="F1822" s="8" t="s">
        <v>4383</v>
      </c>
      <c r="G1822" s="8" t="n">
        <f aca="false">+593978851238</f>
        <v>593978851238</v>
      </c>
      <c r="H1822" s="8" t="s">
        <v>4384</v>
      </c>
      <c r="I1822" s="8"/>
      <c r="J1822" s="1"/>
      <c r="K1822" s="1" t="s">
        <v>21</v>
      </c>
      <c r="L1822" s="1"/>
      <c r="M1822" s="1"/>
      <c r="N1822" s="1"/>
      <c r="O1822" s="1"/>
      <c r="P1822" s="6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customFormat="false" ht="21.75" hidden="false" customHeight="true" outlineLevel="0" collapsed="false">
      <c r="A1823" s="4" t="n">
        <v>43493</v>
      </c>
      <c r="B1823" s="32" t="s">
        <v>415</v>
      </c>
      <c r="C1823" s="8" t="s">
        <v>15</v>
      </c>
      <c r="D1823" s="32" t="s">
        <v>43</v>
      </c>
      <c r="E1823" s="8" t="s">
        <v>44</v>
      </c>
      <c r="F1823" s="8" t="s">
        <v>4385</v>
      </c>
      <c r="G1823" s="8" t="n">
        <f aca="false">+5930986460916</f>
        <v>5930986460916</v>
      </c>
      <c r="H1823" s="8" t="s">
        <v>4386</v>
      </c>
      <c r="I1823" s="8"/>
      <c r="J1823" s="1"/>
      <c r="K1823" s="1" t="s">
        <v>21</v>
      </c>
      <c r="L1823" s="1"/>
      <c r="M1823" s="1"/>
      <c r="N1823" s="1"/>
      <c r="O1823" s="1"/>
      <c r="P1823" s="6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customFormat="false" ht="21.75" hidden="false" customHeight="true" outlineLevel="0" collapsed="false">
      <c r="A1824" s="4" t="n">
        <v>43493</v>
      </c>
      <c r="B1824" s="32" t="s">
        <v>415</v>
      </c>
      <c r="C1824" s="8" t="s">
        <v>15</v>
      </c>
      <c r="D1824" s="32" t="s">
        <v>43</v>
      </c>
      <c r="E1824" s="8" t="s">
        <v>44</v>
      </c>
      <c r="F1824" s="8" t="s">
        <v>4387</v>
      </c>
      <c r="G1824" s="8" t="n">
        <f aca="false">+593984846601</f>
        <v>593984846601</v>
      </c>
      <c r="H1824" s="8" t="s">
        <v>4388</v>
      </c>
      <c r="I1824" s="8"/>
      <c r="J1824" s="1"/>
      <c r="K1824" s="1" t="s">
        <v>21</v>
      </c>
      <c r="L1824" s="1"/>
      <c r="M1824" s="1"/>
      <c r="N1824" s="1"/>
      <c r="O1824" s="1"/>
      <c r="P1824" s="6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customFormat="false" ht="21.75" hidden="false" customHeight="true" outlineLevel="0" collapsed="false">
      <c r="A1825" s="4" t="n">
        <v>43493</v>
      </c>
      <c r="B1825" s="32" t="s">
        <v>415</v>
      </c>
      <c r="C1825" s="8" t="s">
        <v>15</v>
      </c>
      <c r="D1825" s="32" t="s">
        <v>43</v>
      </c>
      <c r="E1825" s="8" t="s">
        <v>44</v>
      </c>
      <c r="F1825" s="8" t="s">
        <v>4389</v>
      </c>
      <c r="G1825" s="8" t="n">
        <f aca="false">+593981471716</f>
        <v>593981471716</v>
      </c>
      <c r="H1825" s="8" t="s">
        <v>4390</v>
      </c>
      <c r="I1825" s="8"/>
      <c r="J1825" s="1"/>
      <c r="K1825" s="1" t="s">
        <v>1065</v>
      </c>
      <c r="L1825" s="1"/>
      <c r="M1825" s="1"/>
      <c r="N1825" s="1"/>
      <c r="O1825" s="1"/>
      <c r="P1825" s="6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customFormat="false" ht="21.75" hidden="false" customHeight="true" outlineLevel="0" collapsed="false">
      <c r="A1826" s="4" t="n">
        <v>43493</v>
      </c>
      <c r="B1826" s="32" t="s">
        <v>415</v>
      </c>
      <c r="C1826" s="8" t="s">
        <v>15</v>
      </c>
      <c r="D1826" s="32" t="s">
        <v>43</v>
      </c>
      <c r="E1826" s="8" t="s">
        <v>44</v>
      </c>
      <c r="F1826" s="8" t="s">
        <v>4391</v>
      </c>
      <c r="G1826" s="8" t="n">
        <f aca="false">+5930939596716</f>
        <v>5930939596716</v>
      </c>
      <c r="H1826" s="8" t="s">
        <v>4392</v>
      </c>
      <c r="I1826" s="8"/>
      <c r="J1826" s="1"/>
      <c r="K1826" s="1" t="s">
        <v>21</v>
      </c>
      <c r="L1826" s="1"/>
      <c r="M1826" s="1"/>
      <c r="N1826" s="1"/>
      <c r="O1826" s="1"/>
      <c r="P1826" s="6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customFormat="false" ht="21.75" hidden="false" customHeight="true" outlineLevel="0" collapsed="false">
      <c r="A1827" s="4" t="n">
        <v>43493</v>
      </c>
      <c r="B1827" s="32" t="s">
        <v>415</v>
      </c>
      <c r="C1827" s="8" t="s">
        <v>15</v>
      </c>
      <c r="D1827" s="32" t="s">
        <v>43</v>
      </c>
      <c r="E1827" s="8" t="s">
        <v>44</v>
      </c>
      <c r="F1827" s="8" t="s">
        <v>4393</v>
      </c>
      <c r="G1827" s="8" t="n">
        <f aca="false">+593984944460</f>
        <v>593984944460</v>
      </c>
      <c r="H1827" s="8" t="s">
        <v>4394</v>
      </c>
      <c r="I1827" s="8"/>
      <c r="J1827" s="1"/>
      <c r="K1827" s="1" t="s">
        <v>21</v>
      </c>
      <c r="L1827" s="1"/>
      <c r="M1827" s="1"/>
      <c r="N1827" s="1"/>
      <c r="O1827" s="1"/>
      <c r="P1827" s="6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customFormat="false" ht="21.75" hidden="false" customHeight="true" outlineLevel="0" collapsed="false">
      <c r="A1828" s="4" t="n">
        <v>43493</v>
      </c>
      <c r="B1828" s="32" t="s">
        <v>415</v>
      </c>
      <c r="C1828" s="8" t="s">
        <v>15</v>
      </c>
      <c r="D1828" s="32" t="s">
        <v>43</v>
      </c>
      <c r="E1828" s="8" t="s">
        <v>44</v>
      </c>
      <c r="F1828" s="8" t="s">
        <v>4395</v>
      </c>
      <c r="G1828" s="8" t="n">
        <f aca="false">+5930999424994</f>
        <v>5930999424994</v>
      </c>
      <c r="H1828" s="8" t="s">
        <v>4396</v>
      </c>
      <c r="I1828" s="8"/>
      <c r="J1828" s="1"/>
      <c r="K1828" s="1" t="s">
        <v>21</v>
      </c>
      <c r="L1828" s="1"/>
      <c r="M1828" s="1"/>
      <c r="N1828" s="1"/>
      <c r="O1828" s="1"/>
      <c r="P1828" s="6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customFormat="false" ht="21.75" hidden="false" customHeight="true" outlineLevel="0" collapsed="false">
      <c r="A1829" s="4" t="n">
        <v>43493</v>
      </c>
      <c r="B1829" s="32" t="s">
        <v>415</v>
      </c>
      <c r="C1829" s="8" t="s">
        <v>15</v>
      </c>
      <c r="D1829" s="32" t="s">
        <v>43</v>
      </c>
      <c r="E1829" s="8" t="s">
        <v>44</v>
      </c>
      <c r="F1829" s="8" t="s">
        <v>4397</v>
      </c>
      <c r="G1829" s="8" t="n">
        <f aca="false">+593984275531</f>
        <v>593984275531</v>
      </c>
      <c r="H1829" s="8" t="s">
        <v>4398</v>
      </c>
      <c r="I1829" s="8"/>
      <c r="J1829" s="1"/>
      <c r="K1829" s="1" t="s">
        <v>21</v>
      </c>
      <c r="L1829" s="1"/>
      <c r="M1829" s="1"/>
      <c r="N1829" s="1"/>
      <c r="O1829" s="1"/>
      <c r="P1829" s="6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customFormat="false" ht="21.75" hidden="false" customHeight="true" outlineLevel="0" collapsed="false">
      <c r="A1830" s="4" t="n">
        <v>43493</v>
      </c>
      <c r="B1830" s="32" t="s">
        <v>415</v>
      </c>
      <c r="C1830" s="8" t="s">
        <v>15</v>
      </c>
      <c r="D1830" s="32" t="s">
        <v>43</v>
      </c>
      <c r="E1830" s="8" t="s">
        <v>44</v>
      </c>
      <c r="F1830" s="8" t="s">
        <v>4399</v>
      </c>
      <c r="G1830" s="8" t="n">
        <f aca="false">+5930998749835</f>
        <v>5930998749835</v>
      </c>
      <c r="H1830" s="8" t="s">
        <v>4400</v>
      </c>
      <c r="I1830" s="8"/>
      <c r="J1830" s="1"/>
      <c r="K1830" s="1" t="s">
        <v>21</v>
      </c>
      <c r="L1830" s="1"/>
      <c r="M1830" s="1"/>
      <c r="N1830" s="1"/>
      <c r="O1830" s="1"/>
      <c r="P1830" s="6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customFormat="false" ht="21.75" hidden="false" customHeight="true" outlineLevel="0" collapsed="false">
      <c r="A1831" s="4" t="n">
        <v>43493</v>
      </c>
      <c r="B1831" s="8" t="s">
        <v>415</v>
      </c>
      <c r="C1831" s="8" t="s">
        <v>15</v>
      </c>
      <c r="D1831" s="32" t="s">
        <v>43</v>
      </c>
      <c r="E1831" s="8" t="s">
        <v>109</v>
      </c>
      <c r="F1831" s="8" t="s">
        <v>4401</v>
      </c>
      <c r="G1831" s="8" t="n">
        <f aca="false">+593939365697</f>
        <v>593939365697</v>
      </c>
      <c r="H1831" s="8" t="s">
        <v>4402</v>
      </c>
      <c r="I1831" s="8"/>
      <c r="J1831" s="1"/>
      <c r="K1831" s="1" t="s">
        <v>21</v>
      </c>
      <c r="L1831" s="1"/>
      <c r="M1831" s="1"/>
      <c r="N1831" s="1"/>
      <c r="O1831" s="1"/>
      <c r="P1831" s="6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customFormat="false" ht="21.75" hidden="false" customHeight="true" outlineLevel="0" collapsed="false">
      <c r="A1832" s="4" t="n">
        <v>43493</v>
      </c>
      <c r="B1832" s="8" t="s">
        <v>415</v>
      </c>
      <c r="C1832" s="8" t="s">
        <v>15</v>
      </c>
      <c r="D1832" s="32" t="s">
        <v>43</v>
      </c>
      <c r="E1832" s="8" t="s">
        <v>109</v>
      </c>
      <c r="F1832" s="8" t="s">
        <v>4403</v>
      </c>
      <c r="G1832" s="8" t="n">
        <f aca="false">+593959512840</f>
        <v>593959512840</v>
      </c>
      <c r="H1832" s="8" t="s">
        <v>4404</v>
      </c>
      <c r="I1832" s="8"/>
      <c r="J1832" s="1"/>
      <c r="K1832" s="1" t="s">
        <v>21</v>
      </c>
      <c r="L1832" s="1"/>
      <c r="M1832" s="1"/>
      <c r="N1832" s="1"/>
      <c r="O1832" s="1"/>
      <c r="P1832" s="6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customFormat="false" ht="21.75" hidden="false" customHeight="true" outlineLevel="0" collapsed="false">
      <c r="A1833" s="4" t="n">
        <v>43493</v>
      </c>
      <c r="B1833" s="8" t="s">
        <v>415</v>
      </c>
      <c r="C1833" s="8" t="s">
        <v>15</v>
      </c>
      <c r="D1833" s="32" t="s">
        <v>43</v>
      </c>
      <c r="E1833" s="8" t="s">
        <v>109</v>
      </c>
      <c r="F1833" s="8" t="s">
        <v>4405</v>
      </c>
      <c r="G1833" s="8" t="n">
        <f aca="false">+593989103142</f>
        <v>593989103142</v>
      </c>
      <c r="H1833" s="8" t="s">
        <v>4406</v>
      </c>
      <c r="I1833" s="8"/>
      <c r="J1833" s="1"/>
      <c r="K1833" s="1" t="s">
        <v>21</v>
      </c>
      <c r="L1833" s="1"/>
      <c r="M1833" s="1"/>
      <c r="N1833" s="1"/>
      <c r="O1833" s="1"/>
      <c r="P1833" s="6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customFormat="false" ht="21.75" hidden="false" customHeight="true" outlineLevel="0" collapsed="false">
      <c r="A1834" s="4" t="n">
        <v>43493</v>
      </c>
      <c r="B1834" s="8" t="s">
        <v>415</v>
      </c>
      <c r="C1834" s="8" t="s">
        <v>15</v>
      </c>
      <c r="D1834" s="32" t="s">
        <v>43</v>
      </c>
      <c r="E1834" s="8" t="s">
        <v>109</v>
      </c>
      <c r="F1834" s="8" t="s">
        <v>4407</v>
      </c>
      <c r="G1834" s="8" t="n">
        <f aca="false">+593984734626</f>
        <v>593984734626</v>
      </c>
      <c r="H1834" s="8" t="s">
        <v>4408</v>
      </c>
      <c r="I1834" s="8"/>
      <c r="J1834" s="1"/>
      <c r="K1834" s="1" t="s">
        <v>21</v>
      </c>
      <c r="L1834" s="1"/>
      <c r="M1834" s="1"/>
      <c r="N1834" s="1"/>
      <c r="O1834" s="1"/>
      <c r="P1834" s="6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customFormat="false" ht="21.75" hidden="false" customHeight="true" outlineLevel="0" collapsed="false">
      <c r="A1835" s="4" t="n">
        <v>43493</v>
      </c>
      <c r="B1835" s="8" t="s">
        <v>352</v>
      </c>
      <c r="C1835" s="8" t="s">
        <v>15</v>
      </c>
      <c r="D1835" s="32" t="s">
        <v>43</v>
      </c>
      <c r="E1835" s="8" t="s">
        <v>883</v>
      </c>
      <c r="F1835" s="8" t="s">
        <v>4409</v>
      </c>
      <c r="G1835" s="8" t="n">
        <f aca="false">+593939439910</f>
        <v>593939439910</v>
      </c>
      <c r="H1835" s="8" t="s">
        <v>4410</v>
      </c>
      <c r="I1835" s="8"/>
      <c r="J1835" s="1"/>
      <c r="K1835" s="1" t="s">
        <v>4411</v>
      </c>
      <c r="L1835" s="1"/>
      <c r="M1835" s="1"/>
      <c r="N1835" s="1"/>
      <c r="O1835" s="1"/>
      <c r="P1835" s="6" t="s">
        <v>3126</v>
      </c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customFormat="false" ht="21.75" hidden="false" customHeight="true" outlineLevel="0" collapsed="false">
      <c r="A1836" s="4" t="n">
        <v>43493</v>
      </c>
      <c r="B1836" s="8" t="s">
        <v>352</v>
      </c>
      <c r="C1836" s="8" t="s">
        <v>26</v>
      </c>
      <c r="D1836" s="32" t="s">
        <v>43</v>
      </c>
      <c r="E1836" s="8" t="s">
        <v>883</v>
      </c>
      <c r="F1836" s="8" t="s">
        <v>4285</v>
      </c>
      <c r="G1836" s="8" t="n">
        <f aca="false">+593968385381</f>
        <v>593968385381</v>
      </c>
      <c r="H1836" s="8" t="s">
        <v>4286</v>
      </c>
      <c r="I1836" s="8"/>
      <c r="J1836" s="1"/>
      <c r="K1836" s="1" t="s">
        <v>21</v>
      </c>
      <c r="L1836" s="1"/>
      <c r="M1836" s="1"/>
      <c r="N1836" s="1"/>
      <c r="O1836" s="1"/>
      <c r="P1836" s="6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customFormat="false" ht="21.75" hidden="false" customHeight="true" outlineLevel="0" collapsed="false">
      <c r="A1837" s="4" t="n">
        <v>43493</v>
      </c>
      <c r="B1837" s="8" t="s">
        <v>352</v>
      </c>
      <c r="C1837" s="8" t="s">
        <v>26</v>
      </c>
      <c r="D1837" s="32" t="s">
        <v>43</v>
      </c>
      <c r="E1837" s="8" t="s">
        <v>883</v>
      </c>
      <c r="F1837" s="8" t="s">
        <v>4412</v>
      </c>
      <c r="G1837" s="8" t="n">
        <f aca="false">+593991682861</f>
        <v>593991682861</v>
      </c>
      <c r="H1837" s="8" t="s">
        <v>4413</v>
      </c>
      <c r="I1837" s="8"/>
      <c r="J1837" s="1"/>
      <c r="K1837" s="1" t="s">
        <v>21</v>
      </c>
      <c r="L1837" s="1"/>
      <c r="M1837" s="1"/>
      <c r="N1837" s="1"/>
      <c r="O1837" s="1"/>
      <c r="P1837" s="6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customFormat="false" ht="21.75" hidden="false" customHeight="true" outlineLevel="0" collapsed="false">
      <c r="A1838" s="4" t="n">
        <v>43493</v>
      </c>
      <c r="B1838" s="8" t="s">
        <v>352</v>
      </c>
      <c r="C1838" s="8" t="s">
        <v>15</v>
      </c>
      <c r="D1838" s="32" t="s">
        <v>43</v>
      </c>
      <c r="E1838" s="8" t="s">
        <v>109</v>
      </c>
      <c r="F1838" s="8" t="s">
        <v>4414</v>
      </c>
      <c r="G1838" s="8" t="n">
        <f aca="false">+593959200476</f>
        <v>593959200476</v>
      </c>
      <c r="H1838" s="8" t="s">
        <v>4415</v>
      </c>
      <c r="I1838" s="8"/>
      <c r="J1838" s="1"/>
      <c r="K1838" s="1" t="s">
        <v>4416</v>
      </c>
      <c r="L1838" s="1"/>
      <c r="M1838" s="1"/>
      <c r="N1838" s="1"/>
      <c r="O1838" s="1"/>
      <c r="P1838" s="6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customFormat="false" ht="21.75" hidden="false" customHeight="true" outlineLevel="0" collapsed="false">
      <c r="A1839" s="4" t="n">
        <v>43493</v>
      </c>
      <c r="B1839" s="8" t="s">
        <v>352</v>
      </c>
      <c r="C1839" s="8" t="s">
        <v>15</v>
      </c>
      <c r="D1839" s="32" t="s">
        <v>43</v>
      </c>
      <c r="E1839" s="8" t="s">
        <v>109</v>
      </c>
      <c r="F1839" s="8" t="s">
        <v>4417</v>
      </c>
      <c r="G1839" s="8" t="n">
        <f aca="false">+593968695300</f>
        <v>593968695300</v>
      </c>
      <c r="H1839" s="8" t="s">
        <v>4418</v>
      </c>
      <c r="I1839" s="8"/>
      <c r="J1839" s="1"/>
      <c r="K1839" s="1" t="s">
        <v>21</v>
      </c>
      <c r="L1839" s="1"/>
      <c r="M1839" s="1"/>
      <c r="N1839" s="1"/>
      <c r="O1839" s="1"/>
      <c r="P1839" s="6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customFormat="false" ht="21.75" hidden="false" customHeight="true" outlineLevel="0" collapsed="false">
      <c r="A1840" s="4" t="n">
        <v>43493</v>
      </c>
      <c r="B1840" s="8" t="s">
        <v>352</v>
      </c>
      <c r="C1840" s="8" t="s">
        <v>15</v>
      </c>
      <c r="D1840" s="32" t="s">
        <v>43</v>
      </c>
      <c r="E1840" s="8" t="s">
        <v>109</v>
      </c>
      <c r="F1840" s="8" t="s">
        <v>4419</v>
      </c>
      <c r="G1840" s="8" t="n">
        <f aca="false">+5930998684004</f>
        <v>5930998684004</v>
      </c>
      <c r="H1840" s="8" t="s">
        <v>4420</v>
      </c>
      <c r="I1840" s="8"/>
      <c r="J1840" s="1"/>
      <c r="K1840" s="1" t="s">
        <v>21</v>
      </c>
      <c r="L1840" s="1"/>
      <c r="M1840" s="1"/>
      <c r="N1840" s="1"/>
      <c r="O1840" s="1"/>
      <c r="P1840" s="6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customFormat="false" ht="21.75" hidden="false" customHeight="true" outlineLevel="0" collapsed="false">
      <c r="A1841" s="4" t="n">
        <v>43493</v>
      </c>
      <c r="B1841" s="8" t="s">
        <v>352</v>
      </c>
      <c r="C1841" s="8" t="s">
        <v>15</v>
      </c>
      <c r="D1841" s="32" t="s">
        <v>43</v>
      </c>
      <c r="E1841" s="8" t="s">
        <v>109</v>
      </c>
      <c r="F1841" s="8" t="s">
        <v>4421</v>
      </c>
      <c r="G1841" s="8" t="n">
        <f aca="false">+5930983695517</f>
        <v>5930983695517</v>
      </c>
      <c r="H1841" s="8" t="s">
        <v>4422</v>
      </c>
      <c r="I1841" s="8"/>
      <c r="J1841" s="1"/>
      <c r="K1841" s="1" t="s">
        <v>4423</v>
      </c>
      <c r="L1841" s="1"/>
      <c r="M1841" s="1"/>
      <c r="N1841" s="1"/>
      <c r="O1841" s="1"/>
      <c r="P1841" s="6" t="s">
        <v>3289</v>
      </c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customFormat="false" ht="21.75" hidden="false" customHeight="true" outlineLevel="0" collapsed="false">
      <c r="A1842" s="4" t="n">
        <v>43493</v>
      </c>
      <c r="B1842" s="8" t="s">
        <v>352</v>
      </c>
      <c r="C1842" s="8" t="s">
        <v>15</v>
      </c>
      <c r="D1842" s="32" t="s">
        <v>43</v>
      </c>
      <c r="E1842" s="8" t="s">
        <v>109</v>
      </c>
      <c r="F1842" s="8" t="s">
        <v>4424</v>
      </c>
      <c r="G1842" s="8" t="n">
        <f aca="false">+5930993837941</f>
        <v>5930993837941</v>
      </c>
      <c r="H1842" s="8" t="s">
        <v>4425</v>
      </c>
      <c r="I1842" s="8"/>
      <c r="J1842" s="1"/>
      <c r="K1842" s="1" t="s">
        <v>21</v>
      </c>
      <c r="L1842" s="1"/>
      <c r="M1842" s="1"/>
      <c r="N1842" s="1"/>
      <c r="O1842" s="1"/>
      <c r="P1842" s="6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customFormat="false" ht="21.75" hidden="false" customHeight="true" outlineLevel="0" collapsed="false">
      <c r="A1843" s="4" t="n">
        <v>43493</v>
      </c>
      <c r="B1843" s="8" t="s">
        <v>352</v>
      </c>
      <c r="C1843" s="8" t="s">
        <v>15</v>
      </c>
      <c r="D1843" s="32" t="s">
        <v>43</v>
      </c>
      <c r="E1843" s="8" t="s">
        <v>109</v>
      </c>
      <c r="F1843" s="8" t="s">
        <v>4426</v>
      </c>
      <c r="G1843" s="8" t="n">
        <f aca="false">+593990726888</f>
        <v>593990726888</v>
      </c>
      <c r="H1843" s="8" t="s">
        <v>4427</v>
      </c>
      <c r="I1843" s="8"/>
      <c r="J1843" s="1"/>
      <c r="K1843" s="1" t="s">
        <v>4428</v>
      </c>
      <c r="L1843" s="1"/>
      <c r="M1843" s="1"/>
      <c r="N1843" s="1"/>
      <c r="O1843" s="1"/>
      <c r="P1843" s="6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customFormat="false" ht="21.75" hidden="false" customHeight="true" outlineLevel="0" collapsed="false">
      <c r="A1844" s="4" t="n">
        <v>43493</v>
      </c>
      <c r="B1844" s="8" t="s">
        <v>352</v>
      </c>
      <c r="C1844" s="8" t="s">
        <v>15</v>
      </c>
      <c r="D1844" s="32" t="s">
        <v>43</v>
      </c>
      <c r="E1844" s="8" t="s">
        <v>109</v>
      </c>
      <c r="F1844" s="8" t="s">
        <v>4429</v>
      </c>
      <c r="G1844" s="8" t="n">
        <f aca="false">+593979007800</f>
        <v>593979007800</v>
      </c>
      <c r="H1844" s="8" t="s">
        <v>4430</v>
      </c>
      <c r="I1844" s="8"/>
      <c r="J1844" s="1"/>
      <c r="K1844" s="1" t="s">
        <v>428</v>
      </c>
      <c r="L1844" s="1" t="s">
        <v>4431</v>
      </c>
      <c r="M1844" s="1"/>
      <c r="N1844" s="1"/>
      <c r="O1844" s="1"/>
      <c r="P1844" s="6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customFormat="false" ht="21.75" hidden="false" customHeight="true" outlineLevel="0" collapsed="false">
      <c r="A1845" s="4" t="n">
        <v>43493</v>
      </c>
      <c r="B1845" s="8" t="s">
        <v>352</v>
      </c>
      <c r="C1845" s="8" t="s">
        <v>15</v>
      </c>
      <c r="D1845" s="32" t="s">
        <v>43</v>
      </c>
      <c r="E1845" s="8" t="s">
        <v>109</v>
      </c>
      <c r="F1845" s="8" t="s">
        <v>4432</v>
      </c>
      <c r="G1845" s="8" t="n">
        <f aca="false">+593959789121</f>
        <v>593959789121</v>
      </c>
      <c r="H1845" s="8" t="s">
        <v>4433</v>
      </c>
      <c r="I1845" s="8"/>
      <c r="J1845" s="1"/>
      <c r="K1845" s="1" t="s">
        <v>21</v>
      </c>
      <c r="L1845" s="1"/>
      <c r="M1845" s="1"/>
      <c r="N1845" s="1"/>
      <c r="O1845" s="1"/>
      <c r="P1845" s="6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customFormat="false" ht="21.75" hidden="false" customHeight="true" outlineLevel="0" collapsed="false">
      <c r="A1846" s="4" t="n">
        <v>43493</v>
      </c>
      <c r="B1846" s="8" t="s">
        <v>352</v>
      </c>
      <c r="C1846" s="8" t="s">
        <v>15</v>
      </c>
      <c r="D1846" s="32" t="s">
        <v>43</v>
      </c>
      <c r="E1846" s="8" t="s">
        <v>109</v>
      </c>
      <c r="F1846" s="8" t="s">
        <v>4434</v>
      </c>
      <c r="G1846" s="8" t="n">
        <f aca="false">+593968737971</f>
        <v>593968737971</v>
      </c>
      <c r="H1846" s="8" t="s">
        <v>4435</v>
      </c>
      <c r="I1846" s="8"/>
      <c r="J1846" s="1"/>
      <c r="K1846" s="1" t="s">
        <v>21</v>
      </c>
      <c r="L1846" s="1"/>
      <c r="M1846" s="1"/>
      <c r="N1846" s="1"/>
      <c r="O1846" s="1"/>
      <c r="P1846" s="6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customFormat="false" ht="21.75" hidden="false" customHeight="true" outlineLevel="0" collapsed="false">
      <c r="A1847" s="4" t="n">
        <v>43493</v>
      </c>
      <c r="B1847" s="8" t="s">
        <v>352</v>
      </c>
      <c r="C1847" s="8" t="s">
        <v>15</v>
      </c>
      <c r="D1847" s="32" t="s">
        <v>43</v>
      </c>
      <c r="E1847" s="8" t="s">
        <v>109</v>
      </c>
      <c r="F1847" s="8" t="s">
        <v>4436</v>
      </c>
      <c r="G1847" s="8" t="n">
        <f aca="false">+593939141838</f>
        <v>593939141838</v>
      </c>
      <c r="H1847" s="8" t="s">
        <v>4437</v>
      </c>
      <c r="I1847" s="8"/>
      <c r="J1847" s="1"/>
      <c r="K1847" s="1" t="s">
        <v>21</v>
      </c>
      <c r="L1847" s="1"/>
      <c r="M1847" s="1"/>
      <c r="N1847" s="1"/>
      <c r="O1847" s="1"/>
      <c r="P1847" s="6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customFormat="false" ht="21.75" hidden="false" customHeight="true" outlineLevel="0" collapsed="false">
      <c r="A1848" s="4" t="n">
        <v>43493</v>
      </c>
      <c r="B1848" s="8" t="s">
        <v>352</v>
      </c>
      <c r="C1848" s="8" t="s">
        <v>15</v>
      </c>
      <c r="D1848" s="32" t="s">
        <v>43</v>
      </c>
      <c r="E1848" s="8" t="s">
        <v>109</v>
      </c>
      <c r="F1848" s="8" t="s">
        <v>4438</v>
      </c>
      <c r="G1848" s="8" t="n">
        <f aca="false">+593969438245</f>
        <v>593969438245</v>
      </c>
      <c r="H1848" s="8" t="s">
        <v>4439</v>
      </c>
      <c r="I1848" s="8"/>
      <c r="J1848" s="1"/>
      <c r="K1848" s="1" t="s">
        <v>21</v>
      </c>
      <c r="L1848" s="1"/>
      <c r="M1848" s="1"/>
      <c r="N1848" s="1"/>
      <c r="O1848" s="1"/>
      <c r="P1848" s="6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customFormat="false" ht="21.75" hidden="false" customHeight="true" outlineLevel="0" collapsed="false">
      <c r="A1849" s="4" t="n">
        <v>43493</v>
      </c>
      <c r="B1849" s="32" t="s">
        <v>352</v>
      </c>
      <c r="C1849" s="8" t="s">
        <v>15</v>
      </c>
      <c r="D1849" s="8" t="s">
        <v>43</v>
      </c>
      <c r="E1849" s="8" t="s">
        <v>109</v>
      </c>
      <c r="F1849" s="39" t="s">
        <v>4440</v>
      </c>
      <c r="G1849" s="32" t="n">
        <v>985372824</v>
      </c>
      <c r="H1849" s="32" t="s">
        <v>4441</v>
      </c>
      <c r="I1849" s="32"/>
      <c r="J1849" s="1"/>
      <c r="K1849" s="1" t="s">
        <v>21</v>
      </c>
      <c r="L1849" s="1"/>
      <c r="M1849" s="1"/>
      <c r="N1849" s="1"/>
      <c r="O1849" s="1"/>
      <c r="P1849" s="6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customFormat="false" ht="21.75" hidden="false" customHeight="true" outlineLevel="0" collapsed="false">
      <c r="A1850" s="4" t="n">
        <v>43493</v>
      </c>
      <c r="B1850" s="32" t="s">
        <v>352</v>
      </c>
      <c r="C1850" s="8" t="s">
        <v>15</v>
      </c>
      <c r="D1850" s="8" t="s">
        <v>43</v>
      </c>
      <c r="E1850" s="8" t="s">
        <v>109</v>
      </c>
      <c r="F1850" s="39" t="s">
        <v>4442</v>
      </c>
      <c r="G1850" s="32" t="n">
        <v>593988814080</v>
      </c>
      <c r="H1850" s="32" t="s">
        <v>4443</v>
      </c>
      <c r="I1850" s="32"/>
      <c r="J1850" s="1"/>
      <c r="K1850" s="1" t="s">
        <v>4444</v>
      </c>
      <c r="L1850" s="1"/>
      <c r="M1850" s="1"/>
      <c r="N1850" s="1"/>
      <c r="O1850" s="1"/>
      <c r="P1850" s="6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customFormat="false" ht="21.75" hidden="false" customHeight="true" outlineLevel="0" collapsed="false">
      <c r="A1851" s="4" t="n">
        <v>43493</v>
      </c>
      <c r="B1851" s="8" t="s">
        <v>178</v>
      </c>
      <c r="C1851" s="8" t="s">
        <v>15</v>
      </c>
      <c r="D1851" s="32" t="s">
        <v>43</v>
      </c>
      <c r="E1851" s="8" t="s">
        <v>883</v>
      </c>
      <c r="F1851" s="8" t="s">
        <v>4445</v>
      </c>
      <c r="G1851" s="8" t="n">
        <f aca="false">+593958846369</f>
        <v>593958846369</v>
      </c>
      <c r="H1851" s="8" t="s">
        <v>4446</v>
      </c>
      <c r="I1851" s="8"/>
      <c r="J1851" s="1"/>
      <c r="K1851" s="1" t="s">
        <v>4447</v>
      </c>
      <c r="L1851" s="1"/>
      <c r="M1851" s="1"/>
      <c r="N1851" s="1"/>
      <c r="O1851" s="1"/>
      <c r="P1851" s="6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customFormat="false" ht="21.75" hidden="false" customHeight="true" outlineLevel="0" collapsed="false">
      <c r="A1852" s="4" t="n">
        <v>43493</v>
      </c>
      <c r="B1852" s="8" t="s">
        <v>178</v>
      </c>
      <c r="C1852" s="8" t="s">
        <v>15</v>
      </c>
      <c r="D1852" s="32" t="s">
        <v>43</v>
      </c>
      <c r="E1852" s="8" t="s">
        <v>883</v>
      </c>
      <c r="F1852" s="8" t="s">
        <v>4448</v>
      </c>
      <c r="G1852" s="8" t="n">
        <f aca="false">+5930992930694</f>
        <v>5930992930694</v>
      </c>
      <c r="H1852" s="8" t="s">
        <v>4449</v>
      </c>
      <c r="I1852" s="8"/>
      <c r="J1852" s="1"/>
      <c r="K1852" s="1" t="s">
        <v>21</v>
      </c>
      <c r="L1852" s="1"/>
      <c r="M1852" s="1"/>
      <c r="N1852" s="1"/>
      <c r="O1852" s="1"/>
      <c r="P1852" s="6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customFormat="false" ht="21.75" hidden="false" customHeight="true" outlineLevel="0" collapsed="false">
      <c r="A1853" s="4" t="n">
        <v>43493</v>
      </c>
      <c r="B1853" s="8" t="s">
        <v>178</v>
      </c>
      <c r="C1853" s="8" t="s">
        <v>15</v>
      </c>
      <c r="D1853" s="32" t="s">
        <v>43</v>
      </c>
      <c r="E1853" s="8" t="s">
        <v>883</v>
      </c>
      <c r="F1853" s="8" t="s">
        <v>4450</v>
      </c>
      <c r="G1853" s="8" t="n">
        <f aca="false">+593984754987</f>
        <v>593984754987</v>
      </c>
      <c r="H1853" s="8" t="s">
        <v>4451</v>
      </c>
      <c r="I1853" s="8"/>
      <c r="J1853" s="1"/>
      <c r="K1853" s="1" t="s">
        <v>1072</v>
      </c>
      <c r="L1853" s="1"/>
      <c r="M1853" s="1"/>
      <c r="N1853" s="1"/>
      <c r="O1853" s="1"/>
      <c r="P1853" s="6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customFormat="false" ht="21.75" hidden="false" customHeight="true" outlineLevel="0" collapsed="false">
      <c r="A1854" s="4" t="n">
        <v>43493</v>
      </c>
      <c r="B1854" s="8" t="s">
        <v>178</v>
      </c>
      <c r="C1854" s="8" t="s">
        <v>15</v>
      </c>
      <c r="D1854" s="32" t="s">
        <v>43</v>
      </c>
      <c r="E1854" s="8" t="s">
        <v>883</v>
      </c>
      <c r="F1854" s="8" t="s">
        <v>4452</v>
      </c>
      <c r="G1854" s="8" t="n">
        <f aca="false">+593968015370</f>
        <v>593968015370</v>
      </c>
      <c r="H1854" s="8" t="s">
        <v>4453</v>
      </c>
      <c r="I1854" s="8"/>
      <c r="J1854" s="1"/>
      <c r="K1854" s="1" t="s">
        <v>21</v>
      </c>
      <c r="L1854" s="1"/>
      <c r="M1854" s="1"/>
      <c r="N1854" s="1"/>
      <c r="O1854" s="1"/>
      <c r="P1854" s="6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customFormat="false" ht="21.75" hidden="false" customHeight="true" outlineLevel="0" collapsed="false">
      <c r="A1855" s="4" t="n">
        <v>43493</v>
      </c>
      <c r="B1855" s="32" t="s">
        <v>178</v>
      </c>
      <c r="C1855" s="8" t="s">
        <v>15</v>
      </c>
      <c r="D1855" s="32" t="s">
        <v>43</v>
      </c>
      <c r="E1855" s="8" t="s">
        <v>44</v>
      </c>
      <c r="F1855" s="8" t="s">
        <v>4313</v>
      </c>
      <c r="G1855" s="8" t="n">
        <f aca="false">+5930999618971</f>
        <v>5930999618971</v>
      </c>
      <c r="H1855" s="8" t="s">
        <v>4314</v>
      </c>
      <c r="I1855" s="8"/>
      <c r="J1855" s="1"/>
      <c r="K1855" s="1" t="s">
        <v>4454</v>
      </c>
      <c r="L1855" s="1"/>
      <c r="M1855" s="1"/>
      <c r="N1855" s="1"/>
      <c r="O1855" s="1"/>
      <c r="P1855" s="6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customFormat="false" ht="21.75" hidden="false" customHeight="true" outlineLevel="0" collapsed="false">
      <c r="A1856" s="4" t="n">
        <v>43493</v>
      </c>
      <c r="B1856" s="32" t="s">
        <v>178</v>
      </c>
      <c r="C1856" s="8" t="s">
        <v>15</v>
      </c>
      <c r="D1856" s="32" t="s">
        <v>43</v>
      </c>
      <c r="E1856" s="8" t="s">
        <v>44</v>
      </c>
      <c r="F1856" s="8" t="s">
        <v>4455</v>
      </c>
      <c r="G1856" s="8" t="n">
        <f aca="false">+593991815255</f>
        <v>593991815255</v>
      </c>
      <c r="H1856" s="8" t="s">
        <v>4456</v>
      </c>
      <c r="I1856" s="8"/>
      <c r="J1856" s="1"/>
      <c r="K1856" s="1" t="s">
        <v>21</v>
      </c>
      <c r="L1856" s="1"/>
      <c r="M1856" s="1"/>
      <c r="N1856" s="1"/>
      <c r="O1856" s="1"/>
      <c r="P1856" s="6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customFormat="false" ht="21.75" hidden="false" customHeight="true" outlineLevel="0" collapsed="false">
      <c r="A1857" s="4" t="n">
        <v>43493</v>
      </c>
      <c r="B1857" s="32" t="s">
        <v>178</v>
      </c>
      <c r="C1857" s="8" t="s">
        <v>15</v>
      </c>
      <c r="D1857" s="32" t="s">
        <v>43</v>
      </c>
      <c r="E1857" s="8" t="s">
        <v>44</v>
      </c>
      <c r="F1857" s="8" t="s">
        <v>3889</v>
      </c>
      <c r="G1857" s="8" t="n">
        <f aca="false">+593939354677</f>
        <v>593939354677</v>
      </c>
      <c r="H1857" s="8" t="s">
        <v>3890</v>
      </c>
      <c r="I1857" s="8"/>
      <c r="J1857" s="1"/>
      <c r="K1857" s="1" t="s">
        <v>428</v>
      </c>
      <c r="L1857" s="1"/>
      <c r="M1857" s="1"/>
      <c r="N1857" s="1"/>
      <c r="O1857" s="1"/>
      <c r="P1857" s="6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customFormat="false" ht="21.75" hidden="false" customHeight="true" outlineLevel="0" collapsed="false">
      <c r="A1858" s="4" t="n">
        <v>43493</v>
      </c>
      <c r="B1858" s="32" t="s">
        <v>178</v>
      </c>
      <c r="C1858" s="8" t="s">
        <v>15</v>
      </c>
      <c r="D1858" s="32" t="s">
        <v>43</v>
      </c>
      <c r="E1858" s="8" t="s">
        <v>44</v>
      </c>
      <c r="F1858" s="8" t="s">
        <v>4457</v>
      </c>
      <c r="G1858" s="8" t="n">
        <f aca="false">+593995547384</f>
        <v>593995547384</v>
      </c>
      <c r="H1858" s="8" t="s">
        <v>4458</v>
      </c>
      <c r="I1858" s="8"/>
      <c r="J1858" s="1"/>
      <c r="K1858" s="1" t="s">
        <v>21</v>
      </c>
      <c r="L1858" s="1"/>
      <c r="M1858" s="1"/>
      <c r="N1858" s="1"/>
      <c r="O1858" s="1"/>
      <c r="P1858" s="6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customFormat="false" ht="21.75" hidden="false" customHeight="true" outlineLevel="0" collapsed="false">
      <c r="A1859" s="4" t="n">
        <v>43493</v>
      </c>
      <c r="B1859" s="8" t="s">
        <v>178</v>
      </c>
      <c r="C1859" s="8" t="s">
        <v>15</v>
      </c>
      <c r="D1859" s="32" t="s">
        <v>43</v>
      </c>
      <c r="E1859" s="8" t="s">
        <v>109</v>
      </c>
      <c r="F1859" s="8" t="s">
        <v>4459</v>
      </c>
      <c r="G1859" s="8" t="n">
        <f aca="false">+593959687816</f>
        <v>593959687816</v>
      </c>
      <c r="H1859" s="8" t="s">
        <v>4460</v>
      </c>
      <c r="I1859" s="8"/>
      <c r="J1859" s="1"/>
      <c r="K1859" s="1" t="s">
        <v>21</v>
      </c>
      <c r="L1859" s="1"/>
      <c r="M1859" s="1"/>
      <c r="N1859" s="1"/>
      <c r="O1859" s="1"/>
      <c r="P1859" s="6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customFormat="false" ht="21.75" hidden="false" customHeight="true" outlineLevel="0" collapsed="false">
      <c r="A1860" s="4" t="n">
        <v>43493</v>
      </c>
      <c r="B1860" s="8" t="s">
        <v>178</v>
      </c>
      <c r="C1860" s="8" t="s">
        <v>26</v>
      </c>
      <c r="D1860" s="32" t="s">
        <v>43</v>
      </c>
      <c r="E1860" s="8" t="s">
        <v>109</v>
      </c>
      <c r="F1860" s="8" t="s">
        <v>4461</v>
      </c>
      <c r="G1860" s="8" t="n">
        <f aca="false">+593959293977</f>
        <v>593959293977</v>
      </c>
      <c r="H1860" s="8" t="s">
        <v>4462</v>
      </c>
      <c r="I1860" s="8"/>
      <c r="J1860" s="1"/>
      <c r="K1860" s="1" t="s">
        <v>21</v>
      </c>
      <c r="L1860" s="1"/>
      <c r="M1860" s="1"/>
      <c r="N1860" s="1"/>
      <c r="O1860" s="1"/>
      <c r="P1860" s="6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customFormat="false" ht="21.75" hidden="false" customHeight="true" outlineLevel="0" collapsed="false">
      <c r="A1861" s="4" t="n">
        <v>43493</v>
      </c>
      <c r="B1861" s="32" t="s">
        <v>81</v>
      </c>
      <c r="C1861" s="8" t="s">
        <v>15</v>
      </c>
      <c r="D1861" s="32" t="s">
        <v>43</v>
      </c>
      <c r="E1861" s="8" t="s">
        <v>44</v>
      </c>
      <c r="F1861" s="8" t="s">
        <v>4463</v>
      </c>
      <c r="G1861" s="8" t="n">
        <f aca="false">+593987094517</f>
        <v>593987094517</v>
      </c>
      <c r="H1861" s="8" t="s">
        <v>4464</v>
      </c>
      <c r="I1861" s="8"/>
      <c r="J1861" s="1"/>
      <c r="K1861" s="8" t="s">
        <v>4465</v>
      </c>
      <c r="L1861" s="1"/>
      <c r="M1861" s="1"/>
      <c r="N1861" s="1"/>
      <c r="O1861" s="1"/>
      <c r="P1861" s="6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customFormat="false" ht="21.75" hidden="false" customHeight="true" outlineLevel="0" collapsed="false">
      <c r="A1862" s="4" t="n">
        <v>43493</v>
      </c>
      <c r="B1862" s="32" t="s">
        <v>81</v>
      </c>
      <c r="C1862" s="8" t="s">
        <v>26</v>
      </c>
      <c r="D1862" s="32" t="s">
        <v>43</v>
      </c>
      <c r="E1862" s="8" t="s">
        <v>44</v>
      </c>
      <c r="F1862" s="8" t="s">
        <v>4466</v>
      </c>
      <c r="G1862" s="8" t="n">
        <f aca="false">+593994524701</f>
        <v>593994524701</v>
      </c>
      <c r="H1862" s="8" t="s">
        <v>4467</v>
      </c>
      <c r="I1862" s="8"/>
      <c r="J1862" s="1"/>
      <c r="K1862" s="1" t="s">
        <v>21</v>
      </c>
      <c r="L1862" s="1"/>
      <c r="M1862" s="1"/>
      <c r="N1862" s="1"/>
      <c r="O1862" s="1"/>
      <c r="P1862" s="6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customFormat="false" ht="21.75" hidden="false" customHeight="true" outlineLevel="0" collapsed="false">
      <c r="A1863" s="4" t="n">
        <v>43493</v>
      </c>
      <c r="B1863" s="32" t="s">
        <v>81</v>
      </c>
      <c r="C1863" s="8" t="s">
        <v>15</v>
      </c>
      <c r="D1863" s="32" t="s">
        <v>43</v>
      </c>
      <c r="E1863" s="8" t="s">
        <v>44</v>
      </c>
      <c r="F1863" s="8" t="s">
        <v>4468</v>
      </c>
      <c r="G1863" s="8" t="n">
        <f aca="false">+593988623523</f>
        <v>593988623523</v>
      </c>
      <c r="H1863" s="8" t="s">
        <v>4469</v>
      </c>
      <c r="I1863" s="8"/>
      <c r="J1863" s="1"/>
      <c r="K1863" s="1" t="s">
        <v>21</v>
      </c>
      <c r="L1863" s="1"/>
      <c r="M1863" s="1"/>
      <c r="N1863" s="1"/>
      <c r="O1863" s="1"/>
      <c r="P1863" s="6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customFormat="false" ht="21.75" hidden="false" customHeight="true" outlineLevel="0" collapsed="false">
      <c r="A1864" s="4" t="n">
        <v>43493</v>
      </c>
      <c r="B1864" s="32" t="s">
        <v>81</v>
      </c>
      <c r="C1864" s="8" t="s">
        <v>15</v>
      </c>
      <c r="D1864" s="32" t="s">
        <v>43</v>
      </c>
      <c r="E1864" s="8" t="s">
        <v>44</v>
      </c>
      <c r="F1864" s="8" t="s">
        <v>4470</v>
      </c>
      <c r="G1864" s="8" t="n">
        <f aca="false">+5930998083206</f>
        <v>5930998083206</v>
      </c>
      <c r="H1864" s="8" t="s">
        <v>4471</v>
      </c>
      <c r="I1864" s="8"/>
      <c r="J1864" s="1"/>
      <c r="K1864" s="1" t="s">
        <v>4472</v>
      </c>
      <c r="L1864" s="1"/>
      <c r="M1864" s="1"/>
      <c r="N1864" s="1"/>
      <c r="O1864" s="1"/>
      <c r="P1864" s="6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customFormat="false" ht="21.75" hidden="false" customHeight="true" outlineLevel="0" collapsed="false">
      <c r="A1865" s="4" t="n">
        <v>43493</v>
      </c>
      <c r="B1865" s="32" t="s">
        <v>81</v>
      </c>
      <c r="C1865" s="8" t="s">
        <v>15</v>
      </c>
      <c r="D1865" s="32" t="s">
        <v>43</v>
      </c>
      <c r="E1865" s="8" t="s">
        <v>44</v>
      </c>
      <c r="F1865" s="8" t="s">
        <v>4473</v>
      </c>
      <c r="G1865" s="8" t="n">
        <f aca="false">+593939225030</f>
        <v>593939225030</v>
      </c>
      <c r="H1865" s="8" t="s">
        <v>4474</v>
      </c>
      <c r="I1865" s="8"/>
      <c r="J1865" s="1"/>
      <c r="K1865" s="1" t="s">
        <v>4475</v>
      </c>
      <c r="L1865" s="1"/>
      <c r="M1865" s="1"/>
      <c r="N1865" s="1"/>
      <c r="O1865" s="1"/>
      <c r="P1865" s="6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customFormat="false" ht="21.75" hidden="false" customHeight="true" outlineLevel="0" collapsed="false">
      <c r="A1866" s="4" t="n">
        <v>43493</v>
      </c>
      <c r="B1866" s="32" t="s">
        <v>81</v>
      </c>
      <c r="C1866" s="8" t="s">
        <v>15</v>
      </c>
      <c r="D1866" s="32" t="s">
        <v>43</v>
      </c>
      <c r="E1866" s="8" t="s">
        <v>44</v>
      </c>
      <c r="F1866" s="8" t="s">
        <v>4476</v>
      </c>
      <c r="G1866" s="8" t="n">
        <f aca="false">+5930980683529</f>
        <v>5930980683529</v>
      </c>
      <c r="H1866" s="8" t="s">
        <v>4477</v>
      </c>
      <c r="I1866" s="8"/>
      <c r="J1866" s="1"/>
      <c r="K1866" s="1" t="s">
        <v>21</v>
      </c>
      <c r="L1866" s="1"/>
      <c r="M1866" s="1"/>
      <c r="N1866" s="1"/>
      <c r="O1866" s="1"/>
      <c r="P1866" s="6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customFormat="false" ht="21.75" hidden="false" customHeight="true" outlineLevel="0" collapsed="false">
      <c r="A1867" s="4" t="n">
        <v>43493</v>
      </c>
      <c r="B1867" s="8" t="s">
        <v>81</v>
      </c>
      <c r="C1867" s="8" t="s">
        <v>15</v>
      </c>
      <c r="D1867" s="32" t="s">
        <v>43</v>
      </c>
      <c r="E1867" s="8" t="s">
        <v>109</v>
      </c>
      <c r="F1867" s="8" t="s">
        <v>4478</v>
      </c>
      <c r="G1867" s="8" t="n">
        <f aca="false">+593996235249</f>
        <v>593996235249</v>
      </c>
      <c r="H1867" s="8" t="s">
        <v>4479</v>
      </c>
      <c r="I1867" s="8"/>
      <c r="J1867" s="1"/>
      <c r="K1867" s="1" t="s">
        <v>21</v>
      </c>
      <c r="L1867" s="1"/>
      <c r="M1867" s="1"/>
      <c r="N1867" s="1"/>
      <c r="O1867" s="1"/>
      <c r="P1867" s="6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customFormat="false" ht="21.75" hidden="false" customHeight="true" outlineLevel="0" collapsed="false">
      <c r="A1868" s="4" t="n">
        <v>43493</v>
      </c>
      <c r="B1868" s="8" t="s">
        <v>81</v>
      </c>
      <c r="C1868" s="8" t="s">
        <v>15</v>
      </c>
      <c r="D1868" s="32" t="s">
        <v>43</v>
      </c>
      <c r="E1868" s="8" t="s">
        <v>109</v>
      </c>
      <c r="F1868" s="8" t="s">
        <v>4480</v>
      </c>
      <c r="G1868" s="8" t="n">
        <f aca="false">+593959730570</f>
        <v>593959730570</v>
      </c>
      <c r="H1868" s="8" t="s">
        <v>4481</v>
      </c>
      <c r="I1868" s="8"/>
      <c r="J1868" s="1"/>
      <c r="K1868" s="1" t="s">
        <v>2257</v>
      </c>
      <c r="L1868" s="1"/>
      <c r="M1868" s="1"/>
      <c r="N1868" s="1"/>
      <c r="O1868" s="1"/>
      <c r="P1868" s="6" t="s">
        <v>3126</v>
      </c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customFormat="false" ht="21.75" hidden="false" customHeight="true" outlineLevel="0" collapsed="false">
      <c r="A1869" s="4" t="n">
        <v>43493</v>
      </c>
      <c r="B1869" s="8" t="s">
        <v>81</v>
      </c>
      <c r="C1869" s="8" t="s">
        <v>15</v>
      </c>
      <c r="D1869" s="32" t="s">
        <v>43</v>
      </c>
      <c r="E1869" s="8" t="s">
        <v>109</v>
      </c>
      <c r="F1869" s="8" t="s">
        <v>4482</v>
      </c>
      <c r="G1869" s="8" t="n">
        <v>960286353</v>
      </c>
      <c r="H1869" s="8" t="s">
        <v>4483</v>
      </c>
      <c r="I1869" s="8"/>
      <c r="J1869" s="1"/>
      <c r="K1869" s="1" t="s">
        <v>4484</v>
      </c>
      <c r="L1869" s="1"/>
      <c r="M1869" s="1"/>
      <c r="N1869" s="1"/>
      <c r="O1869" s="1"/>
      <c r="P1869" s="6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customFormat="false" ht="21.75" hidden="false" customHeight="true" outlineLevel="0" collapsed="false">
      <c r="A1870" s="4" t="n">
        <v>43493</v>
      </c>
      <c r="B1870" s="8" t="s">
        <v>81</v>
      </c>
      <c r="C1870" s="8" t="s">
        <v>15</v>
      </c>
      <c r="D1870" s="32" t="s">
        <v>43</v>
      </c>
      <c r="E1870" s="8" t="s">
        <v>109</v>
      </c>
      <c r="F1870" s="8" t="s">
        <v>4285</v>
      </c>
      <c r="G1870" s="8" t="n">
        <f aca="false">+593968385381</f>
        <v>593968385381</v>
      </c>
      <c r="H1870" s="8" t="s">
        <v>4286</v>
      </c>
      <c r="I1870" s="8"/>
      <c r="J1870" s="1"/>
      <c r="K1870" s="1" t="s">
        <v>21</v>
      </c>
      <c r="L1870" s="1"/>
      <c r="M1870" s="1"/>
      <c r="N1870" s="1"/>
      <c r="O1870" s="1"/>
      <c r="P1870" s="6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customFormat="false" ht="21.75" hidden="false" customHeight="true" outlineLevel="0" collapsed="false">
      <c r="A1871" s="4" t="n">
        <v>43493</v>
      </c>
      <c r="B1871" s="8" t="s">
        <v>81</v>
      </c>
      <c r="C1871" s="8" t="s">
        <v>15</v>
      </c>
      <c r="D1871" s="32" t="s">
        <v>43</v>
      </c>
      <c r="E1871" s="8" t="s">
        <v>109</v>
      </c>
      <c r="F1871" s="8" t="s">
        <v>4485</v>
      </c>
      <c r="G1871" s="8" t="n">
        <f aca="false">+593986178194</f>
        <v>593986178194</v>
      </c>
      <c r="H1871" s="8" t="s">
        <v>4486</v>
      </c>
      <c r="I1871" s="8"/>
      <c r="J1871" s="1"/>
      <c r="K1871" s="1" t="s">
        <v>21</v>
      </c>
      <c r="L1871" s="1"/>
      <c r="M1871" s="1"/>
      <c r="N1871" s="1"/>
      <c r="O1871" s="1"/>
      <c r="P1871" s="6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customFormat="false" ht="21.75" hidden="false" customHeight="true" outlineLevel="0" collapsed="false">
      <c r="A1872" s="4" t="n">
        <v>43493</v>
      </c>
      <c r="B1872" s="8" t="s">
        <v>81</v>
      </c>
      <c r="C1872" s="8" t="s">
        <v>15</v>
      </c>
      <c r="D1872" s="32" t="s">
        <v>43</v>
      </c>
      <c r="E1872" s="8" t="s">
        <v>109</v>
      </c>
      <c r="F1872" s="8" t="s">
        <v>4487</v>
      </c>
      <c r="G1872" s="8" t="n">
        <f aca="false">+5930979970782</f>
        <v>5930979970782</v>
      </c>
      <c r="H1872" s="8" t="s">
        <v>4488</v>
      </c>
      <c r="I1872" s="8"/>
      <c r="J1872" s="1"/>
      <c r="K1872" s="1" t="s">
        <v>228</v>
      </c>
      <c r="L1872" s="1"/>
      <c r="M1872" s="1"/>
      <c r="N1872" s="1"/>
      <c r="O1872" s="1"/>
      <c r="P1872" s="6" t="s">
        <v>3126</v>
      </c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customFormat="false" ht="21.75" hidden="false" customHeight="true" outlineLevel="0" collapsed="false">
      <c r="A1873" s="4" t="n">
        <v>43493</v>
      </c>
      <c r="B1873" s="32" t="s">
        <v>81</v>
      </c>
      <c r="C1873" s="8" t="s">
        <v>15</v>
      </c>
      <c r="D1873" s="8" t="s">
        <v>43</v>
      </c>
      <c r="E1873" s="8" t="s">
        <v>109</v>
      </c>
      <c r="F1873" s="32" t="s">
        <v>4489</v>
      </c>
      <c r="G1873" s="39" t="n">
        <v>992492850</v>
      </c>
      <c r="H1873" s="32" t="s">
        <v>4490</v>
      </c>
      <c r="I1873" s="32"/>
      <c r="J1873" s="1"/>
      <c r="K1873" s="1" t="s">
        <v>4491</v>
      </c>
      <c r="L1873" s="1"/>
      <c r="M1873" s="1"/>
      <c r="N1873" s="1"/>
      <c r="O1873" s="1"/>
      <c r="P1873" s="6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customFormat="false" ht="21.75" hidden="false" customHeight="true" outlineLevel="0" collapsed="false">
      <c r="A1874" s="4" t="n">
        <v>43493</v>
      </c>
      <c r="B1874" s="32" t="s">
        <v>81</v>
      </c>
      <c r="C1874" s="8" t="s">
        <v>15</v>
      </c>
      <c r="D1874" s="8" t="s">
        <v>43</v>
      </c>
      <c r="E1874" s="8" t="s">
        <v>109</v>
      </c>
      <c r="F1874" s="39" t="s">
        <v>4492</v>
      </c>
      <c r="G1874" s="32" t="n">
        <v>968590269</v>
      </c>
      <c r="H1874" s="32" t="s">
        <v>4493</v>
      </c>
      <c r="I1874" s="32"/>
      <c r="J1874" s="1"/>
      <c r="K1874" s="1" t="s">
        <v>3372</v>
      </c>
      <c r="L1874" s="1"/>
      <c r="M1874" s="1"/>
      <c r="N1874" s="1"/>
      <c r="O1874" s="1"/>
      <c r="P1874" s="6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customFormat="false" ht="21.75" hidden="false" customHeight="true" outlineLevel="0" collapsed="false">
      <c r="A1875" s="4" t="n">
        <v>43493</v>
      </c>
      <c r="B1875" s="32" t="s">
        <v>911</v>
      </c>
      <c r="C1875" s="8" t="s">
        <v>15</v>
      </c>
      <c r="D1875" s="8" t="s">
        <v>16</v>
      </c>
      <c r="E1875" s="8" t="s">
        <v>17</v>
      </c>
      <c r="F1875" s="8" t="s">
        <v>4494</v>
      </c>
      <c r="G1875" s="8" t="n">
        <f aca="false">+593985750081</f>
        <v>593985750081</v>
      </c>
      <c r="H1875" s="8" t="s">
        <v>4495</v>
      </c>
      <c r="I1875" s="8"/>
      <c r="J1875" s="1"/>
      <c r="K1875" s="1" t="s">
        <v>3372</v>
      </c>
      <c r="L1875" s="1" t="s">
        <v>3380</v>
      </c>
      <c r="M1875" s="1"/>
      <c r="N1875" s="1"/>
      <c r="O1875" s="1"/>
      <c r="P1875" s="6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customFormat="false" ht="21.75" hidden="false" customHeight="true" outlineLevel="0" collapsed="false">
      <c r="A1876" s="4" t="n">
        <v>43493</v>
      </c>
      <c r="B1876" s="32" t="s">
        <v>911</v>
      </c>
      <c r="C1876" s="8" t="s">
        <v>15</v>
      </c>
      <c r="D1876" s="8" t="s">
        <v>16</v>
      </c>
      <c r="E1876" s="8" t="s">
        <v>17</v>
      </c>
      <c r="F1876" s="8" t="s">
        <v>4496</v>
      </c>
      <c r="G1876" s="8" t="n">
        <f aca="false">+593990140098</f>
        <v>593990140098</v>
      </c>
      <c r="H1876" s="8" t="s">
        <v>4497</v>
      </c>
      <c r="I1876" s="8"/>
      <c r="J1876" s="1"/>
      <c r="K1876" s="1" t="s">
        <v>3372</v>
      </c>
      <c r="L1876" s="1" t="s">
        <v>4498</v>
      </c>
      <c r="M1876" s="1"/>
      <c r="N1876" s="1"/>
      <c r="O1876" s="1"/>
      <c r="P1876" s="6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customFormat="false" ht="21.75" hidden="false" customHeight="true" outlineLevel="0" collapsed="false">
      <c r="A1877" s="4" t="n">
        <v>43493</v>
      </c>
      <c r="B1877" s="32" t="s">
        <v>911</v>
      </c>
      <c r="C1877" s="8" t="s">
        <v>15</v>
      </c>
      <c r="D1877" s="8" t="s">
        <v>16</v>
      </c>
      <c r="E1877" s="8" t="s">
        <v>17</v>
      </c>
      <c r="F1877" s="8" t="s">
        <v>4499</v>
      </c>
      <c r="G1877" s="8" t="n">
        <f aca="false">+593939145248</f>
        <v>593939145248</v>
      </c>
      <c r="H1877" s="8" t="s">
        <v>4500</v>
      </c>
      <c r="I1877" s="8"/>
      <c r="J1877" s="1"/>
      <c r="K1877" s="1" t="s">
        <v>3372</v>
      </c>
      <c r="L1877" s="1" t="s">
        <v>3623</v>
      </c>
      <c r="M1877" s="1"/>
      <c r="N1877" s="1"/>
      <c r="O1877" s="1"/>
      <c r="P1877" s="6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customFormat="false" ht="21.75" hidden="false" customHeight="true" outlineLevel="0" collapsed="false">
      <c r="A1878" s="4" t="n">
        <v>43493</v>
      </c>
      <c r="B1878" s="11" t="s">
        <v>286</v>
      </c>
      <c r="C1878" s="8" t="s">
        <v>15</v>
      </c>
      <c r="D1878" s="8" t="s">
        <v>16</v>
      </c>
      <c r="E1878" s="8" t="s">
        <v>17</v>
      </c>
      <c r="F1878" s="8" t="s">
        <v>4501</v>
      </c>
      <c r="G1878" s="8" t="n">
        <f aca="false">+593993775435</f>
        <v>593993775435</v>
      </c>
      <c r="H1878" s="8" t="s">
        <v>4502</v>
      </c>
      <c r="I1878" s="8"/>
      <c r="J1878" s="1"/>
      <c r="K1878" s="1" t="s">
        <v>3372</v>
      </c>
      <c r="L1878" s="1" t="s">
        <v>4503</v>
      </c>
      <c r="M1878" s="1"/>
      <c r="N1878" s="1"/>
      <c r="O1878" s="1"/>
      <c r="P1878" s="6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customFormat="false" ht="21.75" hidden="false" customHeight="true" outlineLevel="0" collapsed="false">
      <c r="A1879" s="4" t="n">
        <v>43493</v>
      </c>
      <c r="B1879" s="11" t="s">
        <v>286</v>
      </c>
      <c r="C1879" s="8" t="s">
        <v>15</v>
      </c>
      <c r="D1879" s="8" t="s">
        <v>16</v>
      </c>
      <c r="E1879" s="8" t="s">
        <v>17</v>
      </c>
      <c r="F1879" s="8" t="s">
        <v>4504</v>
      </c>
      <c r="G1879" s="8" t="n">
        <f aca="false">+593983348378</f>
        <v>593983348378</v>
      </c>
      <c r="H1879" s="8" t="s">
        <v>4505</v>
      </c>
      <c r="I1879" s="8"/>
      <c r="J1879" s="1"/>
      <c r="K1879" s="1" t="s">
        <v>3372</v>
      </c>
      <c r="L1879" s="1" t="s">
        <v>3372</v>
      </c>
      <c r="M1879" s="1"/>
      <c r="N1879" s="1"/>
      <c r="O1879" s="1"/>
      <c r="P1879" s="6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customFormat="false" ht="21.75" hidden="false" customHeight="true" outlineLevel="0" collapsed="false">
      <c r="A1880" s="4" t="n">
        <v>43493</v>
      </c>
      <c r="B1880" s="11" t="s">
        <v>286</v>
      </c>
      <c r="C1880" s="8" t="s">
        <v>15</v>
      </c>
      <c r="D1880" s="8" t="s">
        <v>16</v>
      </c>
      <c r="E1880" s="8" t="s">
        <v>17</v>
      </c>
      <c r="F1880" s="8" t="s">
        <v>4506</v>
      </c>
      <c r="G1880" s="8" t="n">
        <f aca="false">+5930996177100</f>
        <v>5930996177100</v>
      </c>
      <c r="H1880" s="8" t="s">
        <v>4507</v>
      </c>
      <c r="I1880" s="8"/>
      <c r="J1880" s="1"/>
      <c r="K1880" s="1" t="s">
        <v>4508</v>
      </c>
      <c r="L1880" s="1" t="s">
        <v>4509</v>
      </c>
      <c r="M1880" s="1"/>
      <c r="N1880" s="1"/>
      <c r="O1880" s="1"/>
      <c r="P1880" s="6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customFormat="false" ht="21.75" hidden="false" customHeight="true" outlineLevel="0" collapsed="false">
      <c r="A1881" s="4" t="n">
        <v>43493</v>
      </c>
      <c r="B1881" s="11" t="s">
        <v>286</v>
      </c>
      <c r="C1881" s="8" t="s">
        <v>15</v>
      </c>
      <c r="D1881" s="8" t="s">
        <v>16</v>
      </c>
      <c r="E1881" s="8" t="s">
        <v>17</v>
      </c>
      <c r="F1881" s="39" t="s">
        <v>4510</v>
      </c>
      <c r="G1881" s="32" t="n">
        <v>994616591</v>
      </c>
      <c r="H1881" s="32" t="s">
        <v>4511</v>
      </c>
      <c r="I1881" s="32"/>
      <c r="J1881" s="1"/>
      <c r="K1881" s="1" t="s">
        <v>3372</v>
      </c>
      <c r="L1881" s="1" t="s">
        <v>4512</v>
      </c>
      <c r="M1881" s="1"/>
      <c r="N1881" s="1"/>
      <c r="O1881" s="1"/>
      <c r="P1881" s="6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customFormat="false" ht="21.75" hidden="false" customHeight="true" outlineLevel="0" collapsed="false">
      <c r="A1882" s="4" t="n">
        <v>43493</v>
      </c>
      <c r="B1882" s="11" t="s">
        <v>286</v>
      </c>
      <c r="C1882" s="8" t="s">
        <v>15</v>
      </c>
      <c r="D1882" s="8" t="s">
        <v>16</v>
      </c>
      <c r="E1882" s="8" t="s">
        <v>17</v>
      </c>
      <c r="F1882" s="39" t="s">
        <v>4513</v>
      </c>
      <c r="G1882" s="32" t="n">
        <v>988229770</v>
      </c>
      <c r="H1882" s="32" t="s">
        <v>4514</v>
      </c>
      <c r="I1882" s="32"/>
      <c r="J1882" s="1"/>
      <c r="K1882" s="1" t="s">
        <v>3372</v>
      </c>
      <c r="L1882" s="1" t="s">
        <v>3372</v>
      </c>
      <c r="M1882" s="1"/>
      <c r="N1882" s="1"/>
      <c r="O1882" s="1"/>
      <c r="P1882" s="6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customFormat="false" ht="21.75" hidden="false" customHeight="true" outlineLevel="0" collapsed="false">
      <c r="A1883" s="4" t="n">
        <v>43493</v>
      </c>
      <c r="B1883" s="32" t="s">
        <v>86</v>
      </c>
      <c r="C1883" s="8" t="s">
        <v>15</v>
      </c>
      <c r="D1883" s="8" t="s">
        <v>16</v>
      </c>
      <c r="E1883" s="8" t="s">
        <v>17</v>
      </c>
      <c r="F1883" s="8" t="s">
        <v>4515</v>
      </c>
      <c r="G1883" s="8" t="n">
        <f aca="false">+593993457790</f>
        <v>593993457790</v>
      </c>
      <c r="H1883" s="8" t="s">
        <v>4516</v>
      </c>
      <c r="I1883" s="8"/>
      <c r="J1883" s="1"/>
      <c r="K1883" s="1" t="s">
        <v>58</v>
      </c>
      <c r="L1883" s="1" t="s">
        <v>3623</v>
      </c>
      <c r="M1883" s="1"/>
      <c r="N1883" s="1"/>
      <c r="O1883" s="1"/>
      <c r="P1883" s="6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customFormat="false" ht="21.75" hidden="false" customHeight="true" outlineLevel="0" collapsed="false">
      <c r="A1884" s="4" t="n">
        <v>43493</v>
      </c>
      <c r="B1884" s="32" t="s">
        <v>86</v>
      </c>
      <c r="C1884" s="8" t="s">
        <v>15</v>
      </c>
      <c r="D1884" s="8" t="s">
        <v>16</v>
      </c>
      <c r="E1884" s="8" t="s">
        <v>17</v>
      </c>
      <c r="F1884" s="8" t="s">
        <v>4517</v>
      </c>
      <c r="G1884" s="8" t="n">
        <f aca="false">+593978868793</f>
        <v>593978868793</v>
      </c>
      <c r="H1884" s="8" t="s">
        <v>4518</v>
      </c>
      <c r="I1884" s="8"/>
      <c r="J1884" s="1"/>
      <c r="K1884" s="1" t="s">
        <v>4519</v>
      </c>
      <c r="L1884" s="1" t="s">
        <v>4520</v>
      </c>
      <c r="M1884" s="1"/>
      <c r="N1884" s="1"/>
      <c r="O1884" s="1"/>
      <c r="P1884" s="6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customFormat="false" ht="21.75" hidden="false" customHeight="true" outlineLevel="0" collapsed="false">
      <c r="A1885" s="4" t="n">
        <v>43493</v>
      </c>
      <c r="B1885" s="32" t="s">
        <v>86</v>
      </c>
      <c r="C1885" s="8" t="s">
        <v>15</v>
      </c>
      <c r="D1885" s="8" t="s">
        <v>16</v>
      </c>
      <c r="E1885" s="8" t="s">
        <v>17</v>
      </c>
      <c r="F1885" s="8" t="s">
        <v>4521</v>
      </c>
      <c r="G1885" s="8" t="n">
        <f aca="false">+5930993837611</f>
        <v>5930993837611</v>
      </c>
      <c r="H1885" s="8" t="s">
        <v>4522</v>
      </c>
      <c r="I1885" s="8"/>
      <c r="J1885" s="1"/>
      <c r="K1885" s="1" t="s">
        <v>3399</v>
      </c>
      <c r="L1885" s="1" t="s">
        <v>4148</v>
      </c>
      <c r="M1885" s="1"/>
      <c r="N1885" s="1"/>
      <c r="O1885" s="1"/>
      <c r="P1885" s="6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customFormat="false" ht="21.75" hidden="false" customHeight="true" outlineLevel="0" collapsed="false">
      <c r="A1886" s="4" t="n">
        <v>43493</v>
      </c>
      <c r="B1886" s="32" t="s">
        <v>86</v>
      </c>
      <c r="C1886" s="8" t="s">
        <v>15</v>
      </c>
      <c r="D1886" s="8" t="s">
        <v>16</v>
      </c>
      <c r="E1886" s="8" t="s">
        <v>17</v>
      </c>
      <c r="F1886" s="8" t="s">
        <v>4523</v>
      </c>
      <c r="G1886" s="8" t="n">
        <f aca="false">+5930990993025</f>
        <v>5930990993025</v>
      </c>
      <c r="H1886" s="8" t="s">
        <v>4524</v>
      </c>
      <c r="I1886" s="8"/>
      <c r="J1886" s="1"/>
      <c r="K1886" s="1" t="s">
        <v>3372</v>
      </c>
      <c r="L1886" s="1" t="s">
        <v>3372</v>
      </c>
      <c r="M1886" s="1" t="s">
        <v>4525</v>
      </c>
      <c r="N1886" s="1"/>
      <c r="O1886" s="1"/>
      <c r="P1886" s="6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customFormat="false" ht="21.75" hidden="false" customHeight="true" outlineLevel="0" collapsed="false">
      <c r="A1887" s="4" t="n">
        <v>43493</v>
      </c>
      <c r="B1887" s="32" t="s">
        <v>86</v>
      </c>
      <c r="C1887" s="8" t="s">
        <v>15</v>
      </c>
      <c r="D1887" s="8" t="s">
        <v>16</v>
      </c>
      <c r="E1887" s="8" t="s">
        <v>17</v>
      </c>
      <c r="F1887" s="8" t="s">
        <v>4526</v>
      </c>
      <c r="G1887" s="8" t="n">
        <f aca="false">+593958791332</f>
        <v>593958791332</v>
      </c>
      <c r="H1887" s="8" t="s">
        <v>4527</v>
      </c>
      <c r="I1887" s="8"/>
      <c r="J1887" s="1"/>
      <c r="K1887" s="1" t="s">
        <v>3372</v>
      </c>
      <c r="L1887" s="1" t="s">
        <v>3372</v>
      </c>
      <c r="M1887" s="1"/>
      <c r="N1887" s="1"/>
      <c r="O1887" s="1"/>
      <c r="P1887" s="6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customFormat="false" ht="21.75" hidden="false" customHeight="true" outlineLevel="0" collapsed="false">
      <c r="A1888" s="4" t="n">
        <v>43493</v>
      </c>
      <c r="B1888" s="32" t="s">
        <v>86</v>
      </c>
      <c r="C1888" s="8" t="s">
        <v>15</v>
      </c>
      <c r="D1888" s="8" t="s">
        <v>16</v>
      </c>
      <c r="E1888" s="8" t="s">
        <v>17</v>
      </c>
      <c r="F1888" s="8" t="s">
        <v>4528</v>
      </c>
      <c r="G1888" s="8" t="n">
        <f aca="false">+593997884613</f>
        <v>593997884613</v>
      </c>
      <c r="H1888" s="8" t="s">
        <v>4529</v>
      </c>
      <c r="I1888" s="8"/>
      <c r="J1888" s="1"/>
      <c r="K1888" s="1" t="s">
        <v>4530</v>
      </c>
      <c r="L1888" s="1" t="s">
        <v>4531</v>
      </c>
      <c r="M1888" s="1"/>
      <c r="N1888" s="1"/>
      <c r="O1888" s="1"/>
      <c r="P1888" s="6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customFormat="false" ht="21.75" hidden="false" customHeight="true" outlineLevel="0" collapsed="false">
      <c r="A1889" s="4" t="n">
        <v>43493</v>
      </c>
      <c r="B1889" s="32" t="s">
        <v>86</v>
      </c>
      <c r="C1889" s="8" t="s">
        <v>15</v>
      </c>
      <c r="D1889" s="8" t="s">
        <v>16</v>
      </c>
      <c r="E1889" s="8" t="s">
        <v>17</v>
      </c>
      <c r="F1889" s="8" t="s">
        <v>4532</v>
      </c>
      <c r="G1889" s="8" t="n">
        <f aca="false">+593994207082</f>
        <v>593994207082</v>
      </c>
      <c r="H1889" s="8" t="s">
        <v>4533</v>
      </c>
      <c r="I1889" s="8"/>
      <c r="J1889" s="1"/>
      <c r="K1889" s="1" t="s">
        <v>3372</v>
      </c>
      <c r="L1889" s="1" t="s">
        <v>3372</v>
      </c>
      <c r="M1889" s="1"/>
      <c r="N1889" s="1"/>
      <c r="O1889" s="1"/>
      <c r="P1889" s="6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customFormat="false" ht="21.75" hidden="false" customHeight="true" outlineLevel="0" collapsed="false">
      <c r="A1890" s="4" t="n">
        <v>43493</v>
      </c>
      <c r="B1890" s="32" t="s">
        <v>86</v>
      </c>
      <c r="C1890" s="8" t="s">
        <v>15</v>
      </c>
      <c r="D1890" s="8" t="s">
        <v>16</v>
      </c>
      <c r="E1890" s="8" t="s">
        <v>17</v>
      </c>
      <c r="F1890" s="8" t="s">
        <v>4534</v>
      </c>
      <c r="G1890" s="8" t="n">
        <f aca="false">+593981202057</f>
        <v>593981202057</v>
      </c>
      <c r="H1890" s="8" t="s">
        <v>4535</v>
      </c>
      <c r="I1890" s="8"/>
      <c r="J1890" s="1"/>
      <c r="K1890" s="1" t="s">
        <v>3372</v>
      </c>
      <c r="L1890" s="1" t="s">
        <v>3623</v>
      </c>
      <c r="M1890" s="1"/>
      <c r="N1890" s="1"/>
      <c r="O1890" s="1"/>
      <c r="P1890" s="6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customFormat="false" ht="21.75" hidden="false" customHeight="true" outlineLevel="0" collapsed="false">
      <c r="A1891" s="4" t="n">
        <v>43493</v>
      </c>
      <c r="B1891" s="32" t="s">
        <v>86</v>
      </c>
      <c r="C1891" s="8" t="s">
        <v>15</v>
      </c>
      <c r="D1891" s="8" t="s">
        <v>16</v>
      </c>
      <c r="E1891" s="8" t="s">
        <v>17</v>
      </c>
      <c r="F1891" s="8" t="s">
        <v>4536</v>
      </c>
      <c r="G1891" s="8" t="n">
        <f aca="false">+593996403018</f>
        <v>593996403018</v>
      </c>
      <c r="H1891" s="8" t="s">
        <v>4537</v>
      </c>
      <c r="I1891" s="8"/>
      <c r="J1891" s="1"/>
      <c r="K1891" s="1" t="s">
        <v>3372</v>
      </c>
      <c r="L1891" s="1" t="s">
        <v>3372</v>
      </c>
      <c r="M1891" s="1"/>
      <c r="N1891" s="1"/>
      <c r="O1891" s="1"/>
      <c r="P1891" s="6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customFormat="false" ht="21.75" hidden="false" customHeight="true" outlineLevel="0" collapsed="false">
      <c r="A1892" s="4" t="n">
        <v>43493</v>
      </c>
      <c r="B1892" s="32" t="s">
        <v>86</v>
      </c>
      <c r="C1892" s="8" t="s">
        <v>15</v>
      </c>
      <c r="D1892" s="8" t="s">
        <v>16</v>
      </c>
      <c r="E1892" s="8" t="s">
        <v>17</v>
      </c>
      <c r="F1892" s="8" t="s">
        <v>4429</v>
      </c>
      <c r="G1892" s="8" t="n">
        <f aca="false">+593979007800</f>
        <v>593979007800</v>
      </c>
      <c r="H1892" s="8" t="s">
        <v>4430</v>
      </c>
      <c r="I1892" s="8"/>
      <c r="J1892" s="1"/>
      <c r="K1892" s="1" t="s">
        <v>3372</v>
      </c>
      <c r="L1892" s="1" t="s">
        <v>3372</v>
      </c>
      <c r="M1892" s="1"/>
      <c r="N1892" s="1"/>
      <c r="O1892" s="1"/>
      <c r="P1892" s="6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customFormat="false" ht="21.75" hidden="false" customHeight="true" outlineLevel="0" collapsed="false">
      <c r="A1893" s="4" t="n">
        <v>43493</v>
      </c>
      <c r="B1893" s="32" t="s">
        <v>86</v>
      </c>
      <c r="C1893" s="8" t="s">
        <v>15</v>
      </c>
      <c r="D1893" s="8" t="s">
        <v>16</v>
      </c>
      <c r="E1893" s="8" t="s">
        <v>17</v>
      </c>
      <c r="F1893" s="8" t="s">
        <v>4538</v>
      </c>
      <c r="G1893" s="8" t="n">
        <f aca="false">+593991196154</f>
        <v>593991196154</v>
      </c>
      <c r="H1893" s="8" t="s">
        <v>4539</v>
      </c>
      <c r="I1893" s="8"/>
      <c r="J1893" s="1"/>
      <c r="K1893" s="1" t="s">
        <v>3372</v>
      </c>
      <c r="L1893" s="1" t="s">
        <v>3372</v>
      </c>
      <c r="M1893" s="1"/>
      <c r="N1893" s="1"/>
      <c r="O1893" s="1"/>
      <c r="P1893" s="6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customFormat="false" ht="21.75" hidden="false" customHeight="true" outlineLevel="0" collapsed="false">
      <c r="A1894" s="4" t="n">
        <v>43493</v>
      </c>
      <c r="B1894" s="32" t="s">
        <v>86</v>
      </c>
      <c r="C1894" s="8" t="s">
        <v>15</v>
      </c>
      <c r="D1894" s="8" t="s">
        <v>16</v>
      </c>
      <c r="E1894" s="8" t="s">
        <v>17</v>
      </c>
      <c r="F1894" s="8" t="s">
        <v>4540</v>
      </c>
      <c r="G1894" s="8" t="n">
        <f aca="false">+593991525923</f>
        <v>593991525923</v>
      </c>
      <c r="H1894" s="8" t="s">
        <v>4541</v>
      </c>
      <c r="I1894" s="8"/>
      <c r="J1894" s="1"/>
      <c r="K1894" s="1" t="s">
        <v>3372</v>
      </c>
      <c r="L1894" s="1" t="s">
        <v>3372</v>
      </c>
      <c r="M1894" s="1"/>
      <c r="N1894" s="1"/>
      <c r="O1894" s="1"/>
      <c r="P1894" s="6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customFormat="false" ht="21.75" hidden="false" customHeight="true" outlineLevel="0" collapsed="false">
      <c r="A1895" s="4" t="n">
        <v>43493</v>
      </c>
      <c r="B1895" s="32" t="s">
        <v>86</v>
      </c>
      <c r="C1895" s="8" t="s">
        <v>15</v>
      </c>
      <c r="D1895" s="8" t="s">
        <v>16</v>
      </c>
      <c r="E1895" s="8" t="s">
        <v>17</v>
      </c>
      <c r="F1895" s="8" t="s">
        <v>4542</v>
      </c>
      <c r="G1895" s="8" t="n">
        <f aca="false">+593985904354</f>
        <v>593985904354</v>
      </c>
      <c r="H1895" s="8" t="s">
        <v>4543</v>
      </c>
      <c r="I1895" s="8"/>
      <c r="J1895" s="1"/>
      <c r="K1895" s="1" t="s">
        <v>3372</v>
      </c>
      <c r="L1895" s="1" t="s">
        <v>3372</v>
      </c>
      <c r="M1895" s="1"/>
      <c r="N1895" s="1"/>
      <c r="O1895" s="1"/>
      <c r="P1895" s="6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customFormat="false" ht="21.75" hidden="false" customHeight="true" outlineLevel="0" collapsed="false">
      <c r="A1896" s="4" t="n">
        <v>43493</v>
      </c>
      <c r="B1896" s="32" t="s">
        <v>86</v>
      </c>
      <c r="C1896" s="8" t="s">
        <v>15</v>
      </c>
      <c r="D1896" s="8" t="s">
        <v>16</v>
      </c>
      <c r="E1896" s="8" t="s">
        <v>17</v>
      </c>
      <c r="F1896" s="8" t="s">
        <v>4544</v>
      </c>
      <c r="G1896" s="8" t="n">
        <f aca="false">+593987007539</f>
        <v>593987007539</v>
      </c>
      <c r="H1896" s="8" t="s">
        <v>4545</v>
      </c>
      <c r="I1896" s="8"/>
      <c r="J1896" s="1"/>
      <c r="K1896" s="1" t="s">
        <v>3372</v>
      </c>
      <c r="L1896" s="1" t="s">
        <v>3372</v>
      </c>
      <c r="M1896" s="1"/>
      <c r="N1896" s="1"/>
      <c r="O1896" s="1"/>
      <c r="P1896" s="6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customFormat="false" ht="21.75" hidden="false" customHeight="true" outlineLevel="0" collapsed="false">
      <c r="A1897" s="4" t="n">
        <v>43493</v>
      </c>
      <c r="B1897" s="32" t="s">
        <v>86</v>
      </c>
      <c r="C1897" s="8" t="s">
        <v>15</v>
      </c>
      <c r="D1897" s="8" t="s">
        <v>16</v>
      </c>
      <c r="E1897" s="8" t="s">
        <v>17</v>
      </c>
      <c r="F1897" s="8" t="s">
        <v>4546</v>
      </c>
      <c r="G1897" s="8" t="n">
        <f aca="false">+593969822758</f>
        <v>593969822758</v>
      </c>
      <c r="H1897" s="8" t="s">
        <v>4547</v>
      </c>
      <c r="I1897" s="8"/>
      <c r="J1897" s="1"/>
      <c r="K1897" s="1" t="s">
        <v>3372</v>
      </c>
      <c r="L1897" s="1" t="s">
        <v>3623</v>
      </c>
      <c r="M1897" s="1"/>
      <c r="N1897" s="1"/>
      <c r="O1897" s="1"/>
      <c r="P1897" s="6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customFormat="false" ht="21.75" hidden="false" customHeight="true" outlineLevel="0" collapsed="false">
      <c r="A1898" s="4" t="n">
        <v>43493</v>
      </c>
      <c r="B1898" s="32" t="s">
        <v>86</v>
      </c>
      <c r="C1898" s="8" t="s">
        <v>15</v>
      </c>
      <c r="D1898" s="8" t="s">
        <v>16</v>
      </c>
      <c r="E1898" s="8" t="s">
        <v>17</v>
      </c>
      <c r="F1898" s="8" t="s">
        <v>4548</v>
      </c>
      <c r="G1898" s="8" t="n">
        <f aca="false">+593959199282</f>
        <v>593959199282</v>
      </c>
      <c r="H1898" s="8" t="s">
        <v>4549</v>
      </c>
      <c r="I1898" s="8"/>
      <c r="J1898" s="1"/>
      <c r="K1898" s="1" t="s">
        <v>3372</v>
      </c>
      <c r="L1898" s="1" t="s">
        <v>3372</v>
      </c>
      <c r="M1898" s="1"/>
      <c r="N1898" s="1"/>
      <c r="O1898" s="1"/>
      <c r="P1898" s="6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customFormat="false" ht="21.75" hidden="false" customHeight="true" outlineLevel="0" collapsed="false">
      <c r="A1899" s="4" t="n">
        <v>43493</v>
      </c>
      <c r="B1899" s="32" t="s">
        <v>86</v>
      </c>
      <c r="C1899" s="8" t="s">
        <v>15</v>
      </c>
      <c r="D1899" s="8" t="s">
        <v>16</v>
      </c>
      <c r="E1899" s="8" t="s">
        <v>17</v>
      </c>
      <c r="F1899" s="39" t="s">
        <v>4550</v>
      </c>
      <c r="G1899" s="32" t="n">
        <v>961346945</v>
      </c>
      <c r="H1899" s="32" t="s">
        <v>4551</v>
      </c>
      <c r="I1899" s="32"/>
      <c r="J1899" s="1"/>
      <c r="K1899" s="1" t="s">
        <v>3372</v>
      </c>
      <c r="L1899" s="1" t="s">
        <v>3372</v>
      </c>
      <c r="M1899" s="1"/>
      <c r="N1899" s="1"/>
      <c r="O1899" s="1"/>
      <c r="P1899" s="6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customFormat="false" ht="21.75" hidden="false" customHeight="true" outlineLevel="0" collapsed="false">
      <c r="A1900" s="4" t="n">
        <v>43493</v>
      </c>
      <c r="B1900" s="32" t="s">
        <v>86</v>
      </c>
      <c r="C1900" s="8" t="s">
        <v>15</v>
      </c>
      <c r="D1900" s="8" t="s">
        <v>16</v>
      </c>
      <c r="E1900" s="8" t="s">
        <v>17</v>
      </c>
      <c r="F1900" s="39" t="s">
        <v>4552</v>
      </c>
      <c r="G1900" s="32" t="n">
        <v>991200735</v>
      </c>
      <c r="H1900" s="32" t="s">
        <v>4553</v>
      </c>
      <c r="I1900" s="32"/>
      <c r="J1900" s="1"/>
      <c r="K1900" s="1" t="s">
        <v>3372</v>
      </c>
      <c r="L1900" s="1" t="s">
        <v>3623</v>
      </c>
      <c r="M1900" s="1"/>
      <c r="N1900" s="1"/>
      <c r="O1900" s="1"/>
      <c r="P1900" s="6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customFormat="false" ht="21.75" hidden="false" customHeight="true" outlineLevel="0" collapsed="false">
      <c r="A1901" s="4" t="n">
        <v>43493</v>
      </c>
      <c r="B1901" s="45" t="s">
        <v>86</v>
      </c>
      <c r="C1901" s="46" t="s">
        <v>15</v>
      </c>
      <c r="D1901" s="46" t="s">
        <v>16</v>
      </c>
      <c r="E1901" s="46" t="s">
        <v>17</v>
      </c>
      <c r="F1901" s="47" t="s">
        <v>4554</v>
      </c>
      <c r="G1901" s="48" t="n">
        <v>985829113</v>
      </c>
      <c r="H1901" s="45" t="s">
        <v>4555</v>
      </c>
      <c r="I1901" s="45"/>
      <c r="J1901" s="1"/>
      <c r="K1901" s="1" t="s">
        <v>3372</v>
      </c>
      <c r="L1901" s="1" t="s">
        <v>3372</v>
      </c>
      <c r="M1901" s="1"/>
      <c r="N1901" s="1"/>
      <c r="O1901" s="1"/>
      <c r="P1901" s="6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customFormat="false" ht="21.75" hidden="false" customHeight="true" outlineLevel="0" collapsed="false">
      <c r="A1902" s="4" t="n">
        <v>43493</v>
      </c>
      <c r="B1902" s="45" t="s">
        <v>166</v>
      </c>
      <c r="C1902" s="46" t="s">
        <v>15</v>
      </c>
      <c r="D1902" s="46" t="s">
        <v>16</v>
      </c>
      <c r="E1902" s="46" t="s">
        <v>17</v>
      </c>
      <c r="F1902" s="47" t="s">
        <v>4556</v>
      </c>
      <c r="G1902" s="48" t="n">
        <v>985604121</v>
      </c>
      <c r="H1902" s="45" t="s">
        <v>4557</v>
      </c>
      <c r="I1902" s="45"/>
      <c r="J1902" s="1"/>
      <c r="K1902" s="1" t="s">
        <v>3380</v>
      </c>
      <c r="L1902" s="1" t="s">
        <v>3380</v>
      </c>
      <c r="M1902" s="1"/>
      <c r="N1902" s="1"/>
      <c r="O1902" s="1"/>
      <c r="P1902" s="6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customFormat="false" ht="21.75" hidden="false" customHeight="true" outlineLevel="0" collapsed="false">
      <c r="A1903" s="4" t="n">
        <v>43493</v>
      </c>
      <c r="B1903" s="45" t="s">
        <v>964</v>
      </c>
      <c r="C1903" s="46" t="s">
        <v>15</v>
      </c>
      <c r="D1903" s="46" t="s">
        <v>43</v>
      </c>
      <c r="E1903" s="46" t="s">
        <v>17</v>
      </c>
      <c r="F1903" s="47" t="s">
        <v>4558</v>
      </c>
      <c r="G1903" s="48" t="n">
        <v>968973686</v>
      </c>
      <c r="H1903" s="49" t="s">
        <v>4559</v>
      </c>
      <c r="I1903" s="49"/>
      <c r="J1903" s="1"/>
      <c r="K1903" s="1" t="s">
        <v>4560</v>
      </c>
      <c r="L1903" s="1"/>
      <c r="M1903" s="1"/>
      <c r="N1903" s="1"/>
      <c r="O1903" s="1"/>
      <c r="P1903" s="6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customFormat="false" ht="21.75" hidden="false" customHeight="true" outlineLevel="0" collapsed="false">
      <c r="A1904" s="4" t="n">
        <v>43493</v>
      </c>
      <c r="B1904" s="45" t="s">
        <v>352</v>
      </c>
      <c r="C1904" s="46" t="s">
        <v>15</v>
      </c>
      <c r="D1904" s="46" t="s">
        <v>43</v>
      </c>
      <c r="E1904" s="46" t="s">
        <v>883</v>
      </c>
      <c r="F1904" s="47" t="s">
        <v>4561</v>
      </c>
      <c r="G1904" s="48" t="n">
        <v>959448573</v>
      </c>
      <c r="H1904" s="45" t="s">
        <v>4562</v>
      </c>
      <c r="I1904" s="45"/>
      <c r="J1904" s="1"/>
      <c r="K1904" s="1" t="s">
        <v>58</v>
      </c>
      <c r="L1904" s="1"/>
      <c r="M1904" s="1"/>
      <c r="N1904" s="1"/>
      <c r="O1904" s="1"/>
      <c r="P1904" s="6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customFormat="false" ht="21.75" hidden="false" customHeight="true" outlineLevel="0" collapsed="false">
      <c r="A1905" s="4" t="n">
        <v>43493</v>
      </c>
      <c r="B1905" s="45" t="s">
        <v>1114</v>
      </c>
      <c r="C1905" s="46" t="s">
        <v>15</v>
      </c>
      <c r="D1905" s="46" t="s">
        <v>43</v>
      </c>
      <c r="E1905" s="46" t="s">
        <v>883</v>
      </c>
      <c r="F1905" s="47" t="s">
        <v>4563</v>
      </c>
      <c r="G1905" s="48" t="n">
        <v>980959720</v>
      </c>
      <c r="H1905" s="45" t="s">
        <v>4564</v>
      </c>
      <c r="I1905" s="45"/>
      <c r="J1905" s="1"/>
      <c r="K1905" s="1" t="s">
        <v>3372</v>
      </c>
      <c r="L1905" s="1"/>
      <c r="M1905" s="1"/>
      <c r="N1905" s="1"/>
      <c r="O1905" s="1"/>
      <c r="P1905" s="6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customFormat="false" ht="21.75" hidden="false" customHeight="true" outlineLevel="0" collapsed="false">
      <c r="A1906" s="4" t="n">
        <v>43493</v>
      </c>
      <c r="B1906" s="45" t="s">
        <v>48</v>
      </c>
      <c r="C1906" s="46" t="s">
        <v>15</v>
      </c>
      <c r="D1906" s="46" t="s">
        <v>43</v>
      </c>
      <c r="E1906" s="46" t="s">
        <v>109</v>
      </c>
      <c r="F1906" s="47" t="s">
        <v>4565</v>
      </c>
      <c r="G1906" s="48" t="n">
        <v>990751162</v>
      </c>
      <c r="H1906" s="45" t="s">
        <v>4566</v>
      </c>
      <c r="I1906" s="45"/>
      <c r="J1906" s="1"/>
      <c r="K1906" s="1" t="s">
        <v>3372</v>
      </c>
      <c r="L1906" s="1"/>
      <c r="M1906" s="1"/>
      <c r="N1906" s="1"/>
      <c r="O1906" s="1"/>
      <c r="P1906" s="6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customFormat="false" ht="21.75" hidden="false" customHeight="true" outlineLevel="0" collapsed="false">
      <c r="A1907" s="4" t="n">
        <v>43493</v>
      </c>
      <c r="B1907" s="45" t="s">
        <v>352</v>
      </c>
      <c r="C1907" s="46" t="s">
        <v>15</v>
      </c>
      <c r="D1907" s="46" t="s">
        <v>43</v>
      </c>
      <c r="E1907" s="46" t="s">
        <v>883</v>
      </c>
      <c r="F1907" s="47" t="s">
        <v>4567</v>
      </c>
      <c r="G1907" s="48" t="n">
        <v>958909496</v>
      </c>
      <c r="H1907" s="45" t="s">
        <v>4568</v>
      </c>
      <c r="I1907" s="45"/>
      <c r="J1907" s="1"/>
      <c r="K1907" s="1" t="s">
        <v>3843</v>
      </c>
      <c r="L1907" s="1"/>
      <c r="M1907" s="1"/>
      <c r="N1907" s="1"/>
      <c r="O1907" s="1"/>
      <c r="P1907" s="6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customFormat="false" ht="21.75" hidden="false" customHeight="true" outlineLevel="0" collapsed="false">
      <c r="A1908" s="4" t="n">
        <v>43493</v>
      </c>
      <c r="B1908" s="45" t="s">
        <v>48</v>
      </c>
      <c r="C1908" s="46" t="s">
        <v>15</v>
      </c>
      <c r="D1908" s="46" t="s">
        <v>43</v>
      </c>
      <c r="E1908" s="46" t="s">
        <v>109</v>
      </c>
      <c r="F1908" s="47" t="s">
        <v>4569</v>
      </c>
      <c r="G1908" s="48" t="n">
        <v>988787033</v>
      </c>
      <c r="H1908" s="45" t="s">
        <v>4570</v>
      </c>
      <c r="I1908" s="45"/>
      <c r="J1908" s="1"/>
      <c r="K1908" s="1" t="s">
        <v>3372</v>
      </c>
      <c r="L1908" s="1"/>
      <c r="M1908" s="1"/>
      <c r="N1908" s="1"/>
      <c r="O1908" s="1"/>
      <c r="P1908" s="6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customFormat="false" ht="21.75" hidden="false" customHeight="true" outlineLevel="0" collapsed="false">
      <c r="A1909" s="4" t="n">
        <v>43493</v>
      </c>
      <c r="B1909" s="45" t="s">
        <v>81</v>
      </c>
      <c r="C1909" s="46" t="s">
        <v>15</v>
      </c>
      <c r="D1909" s="46" t="s">
        <v>43</v>
      </c>
      <c r="E1909" s="46" t="s">
        <v>109</v>
      </c>
      <c r="F1909" s="47" t="s">
        <v>4571</v>
      </c>
      <c r="G1909" s="48" t="n">
        <v>984010595</v>
      </c>
      <c r="H1909" s="45" t="s">
        <v>4572</v>
      </c>
      <c r="I1909" s="45"/>
      <c r="J1909" s="1"/>
      <c r="K1909" s="1" t="s">
        <v>4069</v>
      </c>
      <c r="L1909" s="1"/>
      <c r="M1909" s="1"/>
      <c r="N1909" s="1"/>
      <c r="O1909" s="1"/>
      <c r="P1909" s="6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customFormat="false" ht="21.75" hidden="false" customHeight="true" outlineLevel="0" collapsed="false">
      <c r="A1910" s="4" t="n">
        <v>43493</v>
      </c>
      <c r="B1910" s="45" t="s">
        <v>48</v>
      </c>
      <c r="C1910" s="46" t="s">
        <v>15</v>
      </c>
      <c r="D1910" s="46" t="s">
        <v>43</v>
      </c>
      <c r="E1910" s="46" t="s">
        <v>109</v>
      </c>
      <c r="F1910" s="47" t="s">
        <v>4573</v>
      </c>
      <c r="G1910" s="48" t="n">
        <v>997118699</v>
      </c>
      <c r="H1910" s="45" t="s">
        <v>4574</v>
      </c>
      <c r="I1910" s="45"/>
      <c r="J1910" s="1"/>
      <c r="K1910" s="1" t="s">
        <v>3372</v>
      </c>
      <c r="L1910" s="1"/>
      <c r="M1910" s="1"/>
      <c r="N1910" s="1"/>
      <c r="O1910" s="1"/>
      <c r="P1910" s="6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customFormat="false" ht="21.75" hidden="false" customHeight="true" outlineLevel="0" collapsed="false">
      <c r="A1911" s="4" t="n">
        <v>43493</v>
      </c>
      <c r="B1911" s="45" t="s">
        <v>352</v>
      </c>
      <c r="C1911" s="46" t="s">
        <v>15</v>
      </c>
      <c r="D1911" s="46" t="s">
        <v>43</v>
      </c>
      <c r="E1911" s="46" t="s">
        <v>883</v>
      </c>
      <c r="F1911" s="50" t="s">
        <v>4575</v>
      </c>
      <c r="G1911" s="51" t="n">
        <v>986631177</v>
      </c>
      <c r="H1911" s="52" t="s">
        <v>4576</v>
      </c>
      <c r="I1911" s="52"/>
      <c r="J1911" s="1"/>
      <c r="K1911" s="1" t="s">
        <v>3372</v>
      </c>
      <c r="L1911" s="1"/>
      <c r="M1911" s="1"/>
      <c r="N1911" s="1"/>
      <c r="O1911" s="1"/>
      <c r="P1911" s="6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customFormat="false" ht="21.75" hidden="false" customHeight="true" outlineLevel="0" collapsed="false">
      <c r="A1912" s="4" t="n">
        <v>43493</v>
      </c>
      <c r="B1912" s="53" t="s">
        <v>48</v>
      </c>
      <c r="C1912" s="46" t="s">
        <v>15</v>
      </c>
      <c r="D1912" s="46" t="s">
        <v>43</v>
      </c>
      <c r="E1912" s="46" t="s">
        <v>109</v>
      </c>
      <c r="F1912" s="50" t="s">
        <v>4577</v>
      </c>
      <c r="G1912" s="51" t="n">
        <v>967644496</v>
      </c>
      <c r="H1912" s="54" t="s">
        <v>4578</v>
      </c>
      <c r="I1912" s="54"/>
      <c r="J1912" s="1"/>
      <c r="K1912" s="1" t="s">
        <v>3372</v>
      </c>
      <c r="L1912" s="1"/>
      <c r="M1912" s="1"/>
      <c r="N1912" s="1"/>
      <c r="O1912" s="1"/>
      <c r="P1912" s="6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customFormat="false" ht="21.75" hidden="false" customHeight="true" outlineLevel="0" collapsed="false">
      <c r="A1913" s="4" t="n">
        <v>43493</v>
      </c>
      <c r="B1913" s="53" t="s">
        <v>1114</v>
      </c>
      <c r="C1913" s="46" t="s">
        <v>15</v>
      </c>
      <c r="D1913" s="46" t="s">
        <v>43</v>
      </c>
      <c r="E1913" s="46" t="s">
        <v>109</v>
      </c>
      <c r="F1913" s="50" t="s">
        <v>4579</v>
      </c>
      <c r="G1913" s="51" t="n">
        <v>984019474</v>
      </c>
      <c r="H1913" s="52" t="s">
        <v>4580</v>
      </c>
      <c r="I1913" s="52"/>
      <c r="J1913" s="1"/>
      <c r="K1913" s="1" t="s">
        <v>3372</v>
      </c>
      <c r="L1913" s="1"/>
      <c r="M1913" s="1"/>
      <c r="N1913" s="1"/>
      <c r="O1913" s="1"/>
      <c r="P1913" s="6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customFormat="false" ht="21.75" hidden="false" customHeight="true" outlineLevel="0" collapsed="false">
      <c r="A1914" s="4" t="n">
        <v>43493</v>
      </c>
      <c r="B1914" s="53" t="s">
        <v>286</v>
      </c>
      <c r="C1914" s="46" t="s">
        <v>15</v>
      </c>
      <c r="D1914" s="46" t="s">
        <v>16</v>
      </c>
      <c r="E1914" s="46" t="s">
        <v>17</v>
      </c>
      <c r="F1914" s="50" t="s">
        <v>4581</v>
      </c>
      <c r="G1914" s="51" t="n">
        <v>992370529</v>
      </c>
      <c r="H1914" s="52" t="s">
        <v>4582</v>
      </c>
      <c r="I1914" s="52"/>
      <c r="J1914" s="1"/>
      <c r="K1914" s="1" t="s">
        <v>3372</v>
      </c>
      <c r="L1914" s="1" t="s">
        <v>3372</v>
      </c>
      <c r="M1914" s="1"/>
      <c r="N1914" s="1"/>
      <c r="O1914" s="1"/>
      <c r="P1914" s="6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customFormat="false" ht="21.75" hidden="false" customHeight="true" outlineLevel="0" collapsed="false">
      <c r="A1915" s="4" t="n">
        <v>43493</v>
      </c>
      <c r="B1915" s="52" t="s">
        <v>352</v>
      </c>
      <c r="C1915" s="55" t="s">
        <v>15</v>
      </c>
      <c r="D1915" s="55" t="s">
        <v>43</v>
      </c>
      <c r="E1915" s="55" t="s">
        <v>883</v>
      </c>
      <c r="F1915" s="50" t="s">
        <v>4575</v>
      </c>
      <c r="G1915" s="51" t="n">
        <v>986631177</v>
      </c>
      <c r="H1915" s="52" t="s">
        <v>4576</v>
      </c>
      <c r="I1915" s="52"/>
      <c r="J1915" s="1"/>
      <c r="K1915" s="1" t="s">
        <v>4583</v>
      </c>
      <c r="L1915" s="1"/>
      <c r="M1915" s="1"/>
      <c r="N1915" s="1"/>
      <c r="O1915" s="1"/>
      <c r="P1915" s="6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customFormat="false" ht="21.75" hidden="false" customHeight="true" outlineLevel="0" collapsed="false">
      <c r="A1916" s="4" t="n">
        <v>43493</v>
      </c>
      <c r="B1916" s="52" t="s">
        <v>48</v>
      </c>
      <c r="C1916" s="55" t="s">
        <v>15</v>
      </c>
      <c r="D1916" s="55" t="s">
        <v>43</v>
      </c>
      <c r="E1916" s="55" t="s">
        <v>109</v>
      </c>
      <c r="F1916" s="50" t="s">
        <v>4577</v>
      </c>
      <c r="G1916" s="51" t="n">
        <v>967644496</v>
      </c>
      <c r="H1916" s="56" t="s">
        <v>4578</v>
      </c>
      <c r="I1916" s="56"/>
      <c r="J1916" s="1"/>
      <c r="K1916" s="1" t="s">
        <v>4583</v>
      </c>
      <c r="L1916" s="1"/>
      <c r="M1916" s="1"/>
      <c r="N1916" s="1"/>
      <c r="O1916" s="1"/>
      <c r="P1916" s="6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customFormat="false" ht="21.75" hidden="false" customHeight="true" outlineLevel="0" collapsed="false">
      <c r="A1917" s="4" t="n">
        <v>43493</v>
      </c>
      <c r="B1917" s="52" t="s">
        <v>1114</v>
      </c>
      <c r="C1917" s="55" t="s">
        <v>15</v>
      </c>
      <c r="D1917" s="55" t="s">
        <v>43</v>
      </c>
      <c r="E1917" s="55" t="s">
        <v>109</v>
      </c>
      <c r="F1917" s="50" t="s">
        <v>4579</v>
      </c>
      <c r="G1917" s="51" t="n">
        <v>984019474</v>
      </c>
      <c r="H1917" s="52" t="s">
        <v>4580</v>
      </c>
      <c r="I1917" s="52"/>
      <c r="J1917" s="1"/>
      <c r="K1917" s="1" t="s">
        <v>4583</v>
      </c>
      <c r="L1917" s="1"/>
      <c r="M1917" s="1"/>
      <c r="N1917" s="1"/>
      <c r="O1917" s="1"/>
      <c r="P1917" s="6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customFormat="false" ht="21.75" hidden="false" customHeight="true" outlineLevel="0" collapsed="false">
      <c r="A1918" s="4" t="n">
        <v>43493</v>
      </c>
      <c r="B1918" s="52" t="s">
        <v>286</v>
      </c>
      <c r="C1918" s="55" t="s">
        <v>15</v>
      </c>
      <c r="D1918" s="55" t="s">
        <v>16</v>
      </c>
      <c r="E1918" s="55" t="s">
        <v>17</v>
      </c>
      <c r="F1918" s="50" t="s">
        <v>4581</v>
      </c>
      <c r="G1918" s="51" t="n">
        <v>992370529</v>
      </c>
      <c r="H1918" s="52" t="s">
        <v>4582</v>
      </c>
      <c r="I1918" s="52"/>
      <c r="J1918" s="1"/>
      <c r="K1918" s="1" t="s">
        <v>4583</v>
      </c>
      <c r="L1918" s="1" t="s">
        <v>3372</v>
      </c>
      <c r="M1918" s="1"/>
      <c r="N1918" s="1"/>
      <c r="O1918" s="1"/>
      <c r="P1918" s="6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customFormat="false" ht="21.75" hidden="false" customHeight="true" outlineLevel="0" collapsed="false">
      <c r="A1919" s="4" t="n">
        <v>43493</v>
      </c>
      <c r="B1919" s="52" t="s">
        <v>1114</v>
      </c>
      <c r="C1919" s="55" t="s">
        <v>15</v>
      </c>
      <c r="D1919" s="55" t="s">
        <v>43</v>
      </c>
      <c r="E1919" s="55" t="s">
        <v>883</v>
      </c>
      <c r="F1919" s="50" t="s">
        <v>4584</v>
      </c>
      <c r="G1919" s="51" t="n">
        <v>968327305</v>
      </c>
      <c r="H1919" s="52" t="s">
        <v>4585</v>
      </c>
      <c r="I1919" s="52"/>
      <c r="J1919" s="1"/>
      <c r="K1919" s="1" t="s">
        <v>3372</v>
      </c>
      <c r="L1919" s="1"/>
      <c r="M1919" s="1"/>
      <c r="N1919" s="1"/>
      <c r="O1919" s="1"/>
      <c r="P1919" s="6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customFormat="false" ht="21.75" hidden="false" customHeight="true" outlineLevel="0" collapsed="false">
      <c r="A1920" s="4" t="n">
        <v>43493</v>
      </c>
      <c r="B1920" s="53" t="s">
        <v>1478</v>
      </c>
      <c r="C1920" s="55" t="s">
        <v>15</v>
      </c>
      <c r="D1920" s="55" t="s">
        <v>43</v>
      </c>
      <c r="E1920" s="55" t="s">
        <v>109</v>
      </c>
      <c r="F1920" s="50" t="s">
        <v>4586</v>
      </c>
      <c r="G1920" s="51" t="n">
        <v>961023092</v>
      </c>
      <c r="H1920" s="52" t="s">
        <v>4587</v>
      </c>
      <c r="I1920" s="52"/>
      <c r="J1920" s="1"/>
      <c r="K1920" s="1" t="s">
        <v>4588</v>
      </c>
      <c r="L1920" s="1"/>
      <c r="M1920" s="1"/>
      <c r="N1920" s="1"/>
      <c r="O1920" s="1"/>
      <c r="P1920" s="6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customFormat="false" ht="21.75" hidden="false" customHeight="true" outlineLevel="0" collapsed="false">
      <c r="A1921" s="4" t="n">
        <v>43494</v>
      </c>
      <c r="B1921" s="46" t="s">
        <v>1114</v>
      </c>
      <c r="C1921" s="46" t="s">
        <v>15</v>
      </c>
      <c r="D1921" s="55" t="s">
        <v>43</v>
      </c>
      <c r="E1921" s="55" t="s">
        <v>883</v>
      </c>
      <c r="F1921" s="46" t="s">
        <v>4589</v>
      </c>
      <c r="G1921" s="46" t="n">
        <f aca="false">+593969078461</f>
        <v>593969078461</v>
      </c>
      <c r="H1921" s="46" t="s">
        <v>4590</v>
      </c>
      <c r="I1921" s="46"/>
      <c r="J1921" s="1"/>
      <c r="K1921" s="1" t="s">
        <v>4591</v>
      </c>
      <c r="L1921" s="1"/>
      <c r="M1921" s="1"/>
      <c r="N1921" s="1"/>
      <c r="O1921" s="1"/>
      <c r="P1921" s="6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customFormat="false" ht="21.75" hidden="false" customHeight="true" outlineLevel="0" collapsed="false">
      <c r="A1922" s="4" t="n">
        <v>43494</v>
      </c>
      <c r="B1922" s="46" t="s">
        <v>48</v>
      </c>
      <c r="C1922" s="46" t="s">
        <v>15</v>
      </c>
      <c r="D1922" s="55" t="s">
        <v>43</v>
      </c>
      <c r="E1922" s="55" t="s">
        <v>883</v>
      </c>
      <c r="F1922" s="46" t="s">
        <v>4592</v>
      </c>
      <c r="G1922" s="46" t="n">
        <f aca="false">+5930980903775</f>
        <v>5930980903775</v>
      </c>
      <c r="H1922" s="46" t="s">
        <v>4593</v>
      </c>
      <c r="I1922" s="46"/>
      <c r="J1922" s="1"/>
      <c r="K1922" s="1" t="s">
        <v>4591</v>
      </c>
      <c r="L1922" s="1"/>
      <c r="M1922" s="1"/>
      <c r="N1922" s="1"/>
      <c r="O1922" s="1"/>
      <c r="P1922" s="6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customFormat="false" ht="21.75" hidden="false" customHeight="true" outlineLevel="0" collapsed="false">
      <c r="A1923" s="4" t="n">
        <v>43494</v>
      </c>
      <c r="B1923" s="46" t="s">
        <v>352</v>
      </c>
      <c r="C1923" s="46" t="s">
        <v>26</v>
      </c>
      <c r="D1923" s="55" t="s">
        <v>43</v>
      </c>
      <c r="E1923" s="55" t="s">
        <v>883</v>
      </c>
      <c r="F1923" s="46" t="s">
        <v>4594</v>
      </c>
      <c r="G1923" s="46" t="n">
        <f aca="false">+5930991387989</f>
        <v>5930991387989</v>
      </c>
      <c r="H1923" s="46" t="s">
        <v>4595</v>
      </c>
      <c r="I1923" s="46"/>
      <c r="J1923" s="1"/>
      <c r="K1923" s="1" t="s">
        <v>3372</v>
      </c>
      <c r="L1923" s="1"/>
      <c r="M1923" s="1"/>
      <c r="N1923" s="1"/>
      <c r="O1923" s="1"/>
      <c r="P1923" s="6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customFormat="false" ht="21.75" hidden="false" customHeight="true" outlineLevel="0" collapsed="false">
      <c r="A1924" s="4" t="n">
        <v>43494</v>
      </c>
      <c r="B1924" s="46" t="s">
        <v>1114</v>
      </c>
      <c r="C1924" s="46" t="s">
        <v>15</v>
      </c>
      <c r="D1924" s="55" t="s">
        <v>43</v>
      </c>
      <c r="E1924" s="55" t="s">
        <v>883</v>
      </c>
      <c r="F1924" s="46" t="s">
        <v>4596</v>
      </c>
      <c r="G1924" s="46" t="n">
        <f aca="false">+593986662435</f>
        <v>593986662435</v>
      </c>
      <c r="H1924" s="46" t="s">
        <v>4597</v>
      </c>
      <c r="I1924" s="46"/>
      <c r="J1924" s="1"/>
      <c r="K1924" s="1" t="s">
        <v>3372</v>
      </c>
      <c r="L1924" s="1"/>
      <c r="M1924" s="1"/>
      <c r="N1924" s="1"/>
      <c r="O1924" s="1"/>
      <c r="P1924" s="6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customFormat="false" ht="21.75" hidden="false" customHeight="true" outlineLevel="0" collapsed="false">
      <c r="A1925" s="4" t="n">
        <v>43494</v>
      </c>
      <c r="B1925" s="46" t="s">
        <v>1114</v>
      </c>
      <c r="C1925" s="46" t="s">
        <v>15</v>
      </c>
      <c r="D1925" s="55" t="s">
        <v>43</v>
      </c>
      <c r="E1925" s="55" t="s">
        <v>883</v>
      </c>
      <c r="F1925" s="46" t="s">
        <v>4598</v>
      </c>
      <c r="G1925" s="46" t="n">
        <f aca="false">+593967475648</f>
        <v>593967475648</v>
      </c>
      <c r="H1925" s="46" t="s">
        <v>4599</v>
      </c>
      <c r="I1925" s="46"/>
      <c r="J1925" s="1"/>
      <c r="K1925" s="1" t="s">
        <v>3372</v>
      </c>
      <c r="L1925" s="1"/>
      <c r="M1925" s="1"/>
      <c r="N1925" s="1"/>
      <c r="O1925" s="1"/>
      <c r="P1925" s="6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customFormat="false" ht="21.75" hidden="false" customHeight="true" outlineLevel="0" collapsed="false">
      <c r="A1926" s="4" t="n">
        <v>43494</v>
      </c>
      <c r="B1926" s="46" t="s">
        <v>352</v>
      </c>
      <c r="C1926" s="46" t="s">
        <v>15</v>
      </c>
      <c r="D1926" s="55" t="s">
        <v>43</v>
      </c>
      <c r="E1926" s="55" t="s">
        <v>883</v>
      </c>
      <c r="F1926" s="46" t="s">
        <v>4600</v>
      </c>
      <c r="G1926" s="57" t="n">
        <v>993880683</v>
      </c>
      <c r="H1926" s="46" t="s">
        <v>4601</v>
      </c>
      <c r="I1926" s="46"/>
      <c r="J1926" s="1"/>
      <c r="K1926" s="1" t="s">
        <v>4602</v>
      </c>
      <c r="L1926" s="1"/>
      <c r="M1926" s="1"/>
      <c r="N1926" s="1"/>
      <c r="O1926" s="1"/>
      <c r="P1926" s="6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customFormat="false" ht="21.75" hidden="false" customHeight="true" outlineLevel="0" collapsed="false">
      <c r="A1927" s="4" t="n">
        <v>43494</v>
      </c>
      <c r="B1927" s="46" t="s">
        <v>352</v>
      </c>
      <c r="C1927" s="46" t="s">
        <v>15</v>
      </c>
      <c r="D1927" s="55" t="s">
        <v>43</v>
      </c>
      <c r="E1927" s="55" t="s">
        <v>883</v>
      </c>
      <c r="F1927" s="46" t="s">
        <v>4603</v>
      </c>
      <c r="G1927" s="46" t="n">
        <f aca="false">+593980125788</f>
        <v>593980125788</v>
      </c>
      <c r="H1927" s="46" t="s">
        <v>4604</v>
      </c>
      <c r="I1927" s="46"/>
      <c r="J1927" s="1"/>
      <c r="K1927" s="1" t="s">
        <v>21</v>
      </c>
      <c r="L1927" s="1"/>
      <c r="M1927" s="1"/>
      <c r="N1927" s="1"/>
      <c r="O1927" s="1"/>
      <c r="P1927" s="6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customFormat="false" ht="21.75" hidden="false" customHeight="true" outlineLevel="0" collapsed="false">
      <c r="A1928" s="4" t="n">
        <v>43494</v>
      </c>
      <c r="B1928" s="46" t="s">
        <v>48</v>
      </c>
      <c r="C1928" s="46" t="s">
        <v>26</v>
      </c>
      <c r="D1928" s="55" t="s">
        <v>43</v>
      </c>
      <c r="E1928" s="55" t="s">
        <v>883</v>
      </c>
      <c r="F1928" s="46" t="s">
        <v>2805</v>
      </c>
      <c r="G1928" s="46" t="n">
        <f aca="false">+593999327308</f>
        <v>593999327308</v>
      </c>
      <c r="H1928" s="46" t="s">
        <v>2806</v>
      </c>
      <c r="I1928" s="46"/>
      <c r="J1928" s="1"/>
      <c r="K1928" s="1" t="s">
        <v>2714</v>
      </c>
      <c r="L1928" s="1"/>
      <c r="M1928" s="1"/>
      <c r="N1928" s="1"/>
      <c r="O1928" s="1"/>
      <c r="P1928" s="6" t="s">
        <v>3126</v>
      </c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customFormat="false" ht="21.75" hidden="false" customHeight="true" outlineLevel="0" collapsed="false">
      <c r="A1929" s="4" t="n">
        <v>43494</v>
      </c>
      <c r="B1929" s="46" t="s">
        <v>352</v>
      </c>
      <c r="C1929" s="46" t="s">
        <v>15</v>
      </c>
      <c r="D1929" s="55" t="s">
        <v>43</v>
      </c>
      <c r="E1929" s="55" t="s">
        <v>883</v>
      </c>
      <c r="F1929" s="46" t="s">
        <v>4605</v>
      </c>
      <c r="G1929" s="46" t="n">
        <f aca="false">+593998858173</f>
        <v>593998858173</v>
      </c>
      <c r="H1929" s="46" t="s">
        <v>4606</v>
      </c>
      <c r="I1929" s="46"/>
      <c r="J1929" s="1"/>
      <c r="K1929" s="1" t="s">
        <v>21</v>
      </c>
      <c r="L1929" s="1"/>
      <c r="M1929" s="1"/>
      <c r="N1929" s="1"/>
      <c r="O1929" s="1"/>
      <c r="P1929" s="6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customFormat="false" ht="21.75" hidden="false" customHeight="true" outlineLevel="0" collapsed="false">
      <c r="A1930" s="4" t="n">
        <v>43494</v>
      </c>
      <c r="B1930" s="46" t="s">
        <v>48</v>
      </c>
      <c r="C1930" s="46" t="s">
        <v>15</v>
      </c>
      <c r="D1930" s="55" t="s">
        <v>43</v>
      </c>
      <c r="E1930" s="55" t="s">
        <v>883</v>
      </c>
      <c r="F1930" s="46" t="s">
        <v>4607</v>
      </c>
      <c r="G1930" s="46" t="n">
        <f aca="false">+5930968567205</f>
        <v>5930968567205</v>
      </c>
      <c r="H1930" s="46" t="s">
        <v>4608</v>
      </c>
      <c r="I1930" s="46"/>
      <c r="J1930" s="1"/>
      <c r="K1930" s="1" t="s">
        <v>21</v>
      </c>
      <c r="L1930" s="1"/>
      <c r="M1930" s="1"/>
      <c r="N1930" s="1"/>
      <c r="O1930" s="1"/>
      <c r="P1930" s="6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customFormat="false" ht="21.75" hidden="false" customHeight="true" outlineLevel="0" collapsed="false">
      <c r="A1931" s="4" t="n">
        <v>43494</v>
      </c>
      <c r="B1931" s="46" t="s">
        <v>48</v>
      </c>
      <c r="C1931" s="46" t="s">
        <v>15</v>
      </c>
      <c r="D1931" s="55" t="s">
        <v>43</v>
      </c>
      <c r="E1931" s="55" t="s">
        <v>883</v>
      </c>
      <c r="F1931" s="46" t="s">
        <v>4609</v>
      </c>
      <c r="G1931" s="46" t="n">
        <f aca="false">+593979581014</f>
        <v>593979581014</v>
      </c>
      <c r="H1931" s="46" t="s">
        <v>4610</v>
      </c>
      <c r="I1931" s="46"/>
      <c r="J1931" s="1"/>
      <c r="K1931" s="1" t="s">
        <v>21</v>
      </c>
      <c r="L1931" s="1"/>
      <c r="M1931" s="1"/>
      <c r="N1931" s="1"/>
      <c r="O1931" s="1"/>
      <c r="P1931" s="6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customFormat="false" ht="21.75" hidden="false" customHeight="true" outlineLevel="0" collapsed="false">
      <c r="A1932" s="4" t="n">
        <v>43494</v>
      </c>
      <c r="B1932" s="46" t="s">
        <v>48</v>
      </c>
      <c r="C1932" s="46" t="s">
        <v>15</v>
      </c>
      <c r="D1932" s="55" t="s">
        <v>43</v>
      </c>
      <c r="E1932" s="55" t="s">
        <v>883</v>
      </c>
      <c r="F1932" s="46" t="s">
        <v>4611</v>
      </c>
      <c r="G1932" s="46" t="n">
        <f aca="false">+593997345995</f>
        <v>593997345995</v>
      </c>
      <c r="H1932" s="46" t="s">
        <v>4612</v>
      </c>
      <c r="I1932" s="46"/>
      <c r="J1932" s="1"/>
      <c r="K1932" s="1" t="s">
        <v>21</v>
      </c>
      <c r="L1932" s="1"/>
      <c r="M1932" s="1"/>
      <c r="N1932" s="1"/>
      <c r="O1932" s="1"/>
      <c r="P1932" s="6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customFormat="false" ht="21.75" hidden="false" customHeight="true" outlineLevel="0" collapsed="false">
      <c r="A1933" s="4" t="n">
        <v>43494</v>
      </c>
      <c r="B1933" s="46" t="s">
        <v>48</v>
      </c>
      <c r="C1933" s="46" t="s">
        <v>15</v>
      </c>
      <c r="D1933" s="55" t="s">
        <v>43</v>
      </c>
      <c r="E1933" s="55" t="s">
        <v>883</v>
      </c>
      <c r="F1933" s="46" t="s">
        <v>4613</v>
      </c>
      <c r="G1933" s="46" t="n">
        <f aca="false">+593987229349</f>
        <v>593987229349</v>
      </c>
      <c r="H1933" s="46" t="s">
        <v>4614</v>
      </c>
      <c r="I1933" s="46"/>
      <c r="J1933" s="1"/>
      <c r="K1933" s="1" t="s">
        <v>4615</v>
      </c>
      <c r="L1933" s="1"/>
      <c r="M1933" s="1"/>
      <c r="N1933" s="1"/>
      <c r="O1933" s="1"/>
      <c r="P1933" s="6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customFormat="false" ht="21.75" hidden="false" customHeight="true" outlineLevel="0" collapsed="false">
      <c r="A1934" s="4" t="n">
        <v>43494</v>
      </c>
      <c r="B1934" s="46" t="s">
        <v>48</v>
      </c>
      <c r="C1934" s="46" t="s">
        <v>15</v>
      </c>
      <c r="D1934" s="55" t="s">
        <v>43</v>
      </c>
      <c r="E1934" s="55" t="s">
        <v>883</v>
      </c>
      <c r="F1934" s="46" t="s">
        <v>4616</v>
      </c>
      <c r="G1934" s="46" t="n">
        <f aca="false">+593988103310</f>
        <v>593988103310</v>
      </c>
      <c r="H1934" s="46" t="s">
        <v>4617</v>
      </c>
      <c r="I1934" s="46"/>
      <c r="J1934" s="1"/>
      <c r="K1934" s="1" t="s">
        <v>21</v>
      </c>
      <c r="L1934" s="1"/>
      <c r="M1934" s="1"/>
      <c r="N1934" s="1"/>
      <c r="O1934" s="1"/>
      <c r="P1934" s="6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customFormat="false" ht="21.75" hidden="false" customHeight="true" outlineLevel="0" collapsed="false">
      <c r="A1935" s="4" t="n">
        <v>43494</v>
      </c>
      <c r="B1935" s="46" t="s">
        <v>48</v>
      </c>
      <c r="C1935" s="46" t="s">
        <v>15</v>
      </c>
      <c r="D1935" s="55" t="s">
        <v>43</v>
      </c>
      <c r="E1935" s="55" t="s">
        <v>883</v>
      </c>
      <c r="F1935" s="46" t="s">
        <v>4618</v>
      </c>
      <c r="G1935" s="46" t="n">
        <f aca="false">+593997499558</f>
        <v>593997499558</v>
      </c>
      <c r="H1935" s="46" t="s">
        <v>4619</v>
      </c>
      <c r="I1935" s="46"/>
      <c r="J1935" s="1"/>
      <c r="K1935" s="1" t="s">
        <v>21</v>
      </c>
      <c r="L1935" s="1"/>
      <c r="M1935" s="1"/>
      <c r="N1935" s="1"/>
      <c r="O1935" s="1"/>
      <c r="P1935" s="6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customFormat="false" ht="21.75" hidden="false" customHeight="true" outlineLevel="0" collapsed="false">
      <c r="A1936" s="4" t="n">
        <v>43494</v>
      </c>
      <c r="B1936" s="46" t="s">
        <v>1114</v>
      </c>
      <c r="C1936" s="46" t="s">
        <v>15</v>
      </c>
      <c r="D1936" s="55" t="s">
        <v>43</v>
      </c>
      <c r="E1936" s="55" t="s">
        <v>883</v>
      </c>
      <c r="F1936" s="46" t="s">
        <v>4620</v>
      </c>
      <c r="G1936" s="46" t="n">
        <f aca="false">+593984708565</f>
        <v>593984708565</v>
      </c>
      <c r="H1936" s="46" t="s">
        <v>4621</v>
      </c>
      <c r="I1936" s="46"/>
      <c r="J1936" s="1"/>
      <c r="K1936" s="1" t="s">
        <v>21</v>
      </c>
      <c r="L1936" s="1"/>
      <c r="M1936" s="1"/>
      <c r="N1936" s="1"/>
      <c r="O1936" s="1"/>
      <c r="P1936" s="6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customFormat="false" ht="21.75" hidden="false" customHeight="true" outlineLevel="0" collapsed="false">
      <c r="A1937" s="4" t="n">
        <v>43494</v>
      </c>
      <c r="B1937" s="46" t="s">
        <v>352</v>
      </c>
      <c r="C1937" s="46" t="s">
        <v>15</v>
      </c>
      <c r="D1937" s="55" t="s">
        <v>43</v>
      </c>
      <c r="E1937" s="55" t="s">
        <v>883</v>
      </c>
      <c r="F1937" s="46" t="s">
        <v>4622</v>
      </c>
      <c r="G1937" s="46" t="n">
        <f aca="false">+593993850122</f>
        <v>593993850122</v>
      </c>
      <c r="H1937" s="46" t="s">
        <v>4623</v>
      </c>
      <c r="I1937" s="46"/>
      <c r="J1937" s="1"/>
      <c r="K1937" s="1" t="s">
        <v>21</v>
      </c>
      <c r="L1937" s="1"/>
      <c r="M1937" s="1"/>
      <c r="N1937" s="1"/>
      <c r="O1937" s="1"/>
      <c r="P1937" s="6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customFormat="false" ht="21.75" hidden="false" customHeight="true" outlineLevel="0" collapsed="false">
      <c r="A1938" s="4" t="n">
        <v>43494</v>
      </c>
      <c r="B1938" s="46" t="s">
        <v>532</v>
      </c>
      <c r="C1938" s="46" t="s">
        <v>15</v>
      </c>
      <c r="D1938" s="55" t="s">
        <v>43</v>
      </c>
      <c r="E1938" s="55" t="s">
        <v>109</v>
      </c>
      <c r="F1938" s="46" t="s">
        <v>4624</v>
      </c>
      <c r="G1938" s="46" t="n">
        <f aca="false">+5930983692907</f>
        <v>5930983692907</v>
      </c>
      <c r="H1938" s="46" t="s">
        <v>4625</v>
      </c>
      <c r="I1938" s="46"/>
      <c r="J1938" s="1"/>
      <c r="K1938" s="1" t="s">
        <v>21</v>
      </c>
      <c r="L1938" s="1"/>
      <c r="M1938" s="1"/>
      <c r="N1938" s="1"/>
      <c r="O1938" s="1"/>
      <c r="P1938" s="6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customFormat="false" ht="21.75" hidden="false" customHeight="true" outlineLevel="0" collapsed="false">
      <c r="A1939" s="4" t="n">
        <v>43494</v>
      </c>
      <c r="B1939" s="46" t="s">
        <v>48</v>
      </c>
      <c r="C1939" s="46" t="s">
        <v>15</v>
      </c>
      <c r="D1939" s="55" t="s">
        <v>43</v>
      </c>
      <c r="E1939" s="55" t="s">
        <v>109</v>
      </c>
      <c r="F1939" s="46" t="s">
        <v>4626</v>
      </c>
      <c r="G1939" s="57" t="n">
        <v>988914512</v>
      </c>
      <c r="H1939" s="46" t="s">
        <v>4627</v>
      </c>
      <c r="I1939" s="46"/>
      <c r="J1939" s="1"/>
      <c r="K1939" s="1" t="s">
        <v>1152</v>
      </c>
      <c r="L1939" s="1"/>
      <c r="M1939" s="1"/>
      <c r="N1939" s="1"/>
      <c r="O1939" s="1"/>
      <c r="P1939" s="6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customFormat="false" ht="21.75" hidden="false" customHeight="true" outlineLevel="0" collapsed="false">
      <c r="A1940" s="4" t="n">
        <v>43494</v>
      </c>
      <c r="B1940" s="46" t="s">
        <v>81</v>
      </c>
      <c r="C1940" s="46" t="s">
        <v>15</v>
      </c>
      <c r="D1940" s="55" t="s">
        <v>43</v>
      </c>
      <c r="E1940" s="55" t="s">
        <v>109</v>
      </c>
      <c r="F1940" s="46" t="s">
        <v>4628</v>
      </c>
      <c r="G1940" s="46" t="n">
        <f aca="false">+593990663788</f>
        <v>593990663788</v>
      </c>
      <c r="H1940" s="46" t="s">
        <v>4629</v>
      </c>
      <c r="I1940" s="46"/>
      <c r="J1940" s="1"/>
      <c r="K1940" s="1" t="s">
        <v>4630</v>
      </c>
      <c r="L1940" s="1"/>
      <c r="M1940" s="1"/>
      <c r="N1940" s="1"/>
      <c r="O1940" s="1"/>
      <c r="P1940" s="6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customFormat="false" ht="21.75" hidden="false" customHeight="true" outlineLevel="0" collapsed="false">
      <c r="A1941" s="4" t="n">
        <v>43494</v>
      </c>
      <c r="B1941" s="46" t="s">
        <v>48</v>
      </c>
      <c r="C1941" s="46" t="s">
        <v>15</v>
      </c>
      <c r="D1941" s="55" t="s">
        <v>43</v>
      </c>
      <c r="E1941" s="55" t="s">
        <v>109</v>
      </c>
      <c r="F1941" s="46" t="s">
        <v>4631</v>
      </c>
      <c r="G1941" s="46" t="n">
        <f aca="false">+5930984833897</f>
        <v>5930984833897</v>
      </c>
      <c r="H1941" s="46" t="s">
        <v>4632</v>
      </c>
      <c r="I1941" s="46"/>
      <c r="J1941" s="1"/>
      <c r="K1941" s="1" t="s">
        <v>21</v>
      </c>
      <c r="L1941" s="1"/>
      <c r="M1941" s="1"/>
      <c r="N1941" s="1"/>
      <c r="O1941" s="1"/>
      <c r="P1941" s="6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customFormat="false" ht="21.75" hidden="false" customHeight="true" outlineLevel="0" collapsed="false">
      <c r="A1942" s="4" t="n">
        <v>43494</v>
      </c>
      <c r="B1942" s="46" t="s">
        <v>178</v>
      </c>
      <c r="C1942" s="46" t="s">
        <v>15</v>
      </c>
      <c r="D1942" s="55" t="s">
        <v>43</v>
      </c>
      <c r="E1942" s="55" t="s">
        <v>109</v>
      </c>
      <c r="F1942" s="46" t="s">
        <v>4633</v>
      </c>
      <c r="G1942" s="46" t="n">
        <f aca="false">+593999653561</f>
        <v>593999653561</v>
      </c>
      <c r="H1942" s="46" t="s">
        <v>4634</v>
      </c>
      <c r="I1942" s="46"/>
      <c r="J1942" s="1"/>
      <c r="K1942" s="1" t="s">
        <v>21</v>
      </c>
      <c r="L1942" s="1"/>
      <c r="M1942" s="1"/>
      <c r="N1942" s="1"/>
      <c r="O1942" s="1"/>
      <c r="P1942" s="6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customFormat="false" ht="21.75" hidden="false" customHeight="true" outlineLevel="0" collapsed="false">
      <c r="A1943" s="4" t="n">
        <v>43494</v>
      </c>
      <c r="B1943" s="46" t="s">
        <v>48</v>
      </c>
      <c r="C1943" s="46" t="s">
        <v>15</v>
      </c>
      <c r="D1943" s="55" t="s">
        <v>43</v>
      </c>
      <c r="E1943" s="55" t="s">
        <v>109</v>
      </c>
      <c r="F1943" s="46" t="s">
        <v>4635</v>
      </c>
      <c r="G1943" s="57" t="n">
        <v>997030024</v>
      </c>
      <c r="H1943" s="46" t="s">
        <v>4636</v>
      </c>
      <c r="I1943" s="46"/>
      <c r="J1943" s="1"/>
      <c r="K1943" s="1" t="s">
        <v>21</v>
      </c>
      <c r="L1943" s="1"/>
      <c r="M1943" s="1"/>
      <c r="N1943" s="1"/>
      <c r="O1943" s="1"/>
      <c r="P1943" s="6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customFormat="false" ht="21.75" hidden="false" customHeight="true" outlineLevel="0" collapsed="false">
      <c r="A1944" s="4" t="n">
        <v>43494</v>
      </c>
      <c r="B1944" s="46" t="s">
        <v>352</v>
      </c>
      <c r="C1944" s="46" t="s">
        <v>15</v>
      </c>
      <c r="D1944" s="55" t="s">
        <v>43</v>
      </c>
      <c r="E1944" s="55" t="s">
        <v>109</v>
      </c>
      <c r="F1944" s="46" t="s">
        <v>4637</v>
      </c>
      <c r="G1944" s="46" t="n">
        <f aca="false">+593960210891</f>
        <v>593960210891</v>
      </c>
      <c r="H1944" s="46" t="s">
        <v>4638</v>
      </c>
      <c r="I1944" s="46"/>
      <c r="J1944" s="1"/>
      <c r="K1944" s="1" t="s">
        <v>21</v>
      </c>
      <c r="L1944" s="1"/>
      <c r="M1944" s="1"/>
      <c r="N1944" s="1"/>
      <c r="O1944" s="1"/>
      <c r="P1944" s="6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customFormat="false" ht="21.75" hidden="false" customHeight="true" outlineLevel="0" collapsed="false">
      <c r="A1945" s="4" t="n">
        <v>43494</v>
      </c>
      <c r="B1945" s="46" t="s">
        <v>532</v>
      </c>
      <c r="C1945" s="46" t="s">
        <v>15</v>
      </c>
      <c r="D1945" s="55" t="s">
        <v>43</v>
      </c>
      <c r="E1945" s="55" t="s">
        <v>109</v>
      </c>
      <c r="F1945" s="46" t="s">
        <v>4639</v>
      </c>
      <c r="G1945" s="46" t="n">
        <f aca="false">+593989560202</f>
        <v>593989560202</v>
      </c>
      <c r="H1945" s="46" t="s">
        <v>4640</v>
      </c>
      <c r="I1945" s="46"/>
      <c r="J1945" s="1"/>
      <c r="K1945" s="1" t="s">
        <v>21</v>
      </c>
      <c r="L1945" s="1"/>
      <c r="M1945" s="1"/>
      <c r="N1945" s="1"/>
      <c r="O1945" s="1"/>
      <c r="P1945" s="6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customFormat="false" ht="21.75" hidden="false" customHeight="true" outlineLevel="0" collapsed="false">
      <c r="A1946" s="4" t="n">
        <v>43494</v>
      </c>
      <c r="B1946" s="46" t="s">
        <v>1831</v>
      </c>
      <c r="C1946" s="46" t="s">
        <v>26</v>
      </c>
      <c r="D1946" s="55" t="s">
        <v>43</v>
      </c>
      <c r="E1946" s="55" t="s">
        <v>109</v>
      </c>
      <c r="F1946" s="46" t="s">
        <v>4641</v>
      </c>
      <c r="G1946" s="46" t="n">
        <f aca="false">+593993862324</f>
        <v>593993862324</v>
      </c>
      <c r="H1946" s="46" t="s">
        <v>4642</v>
      </c>
      <c r="I1946" s="46"/>
      <c r="J1946" s="1"/>
      <c r="K1946" s="1" t="s">
        <v>21</v>
      </c>
      <c r="L1946" s="1"/>
      <c r="M1946" s="1"/>
      <c r="N1946" s="1"/>
      <c r="O1946" s="1"/>
      <c r="P1946" s="6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customFormat="false" ht="21.75" hidden="false" customHeight="true" outlineLevel="0" collapsed="false">
      <c r="A1947" s="4" t="n">
        <v>43494</v>
      </c>
      <c r="B1947" s="46" t="s">
        <v>352</v>
      </c>
      <c r="C1947" s="46" t="s">
        <v>15</v>
      </c>
      <c r="D1947" s="55" t="s">
        <v>43</v>
      </c>
      <c r="E1947" s="55" t="s">
        <v>109</v>
      </c>
      <c r="F1947" s="46" t="s">
        <v>2746</v>
      </c>
      <c r="G1947" s="46" t="n">
        <f aca="false">+593968034785</f>
        <v>593968034785</v>
      </c>
      <c r="H1947" s="46" t="s">
        <v>2747</v>
      </c>
      <c r="I1947" s="46"/>
      <c r="J1947" s="1"/>
      <c r="K1947" s="1" t="s">
        <v>21</v>
      </c>
      <c r="L1947" s="1"/>
      <c r="M1947" s="1"/>
      <c r="N1947" s="1"/>
      <c r="O1947" s="1"/>
      <c r="P1947" s="6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customFormat="false" ht="21.75" hidden="false" customHeight="true" outlineLevel="0" collapsed="false">
      <c r="A1948" s="4" t="n">
        <v>43494</v>
      </c>
      <c r="B1948" s="46" t="s">
        <v>178</v>
      </c>
      <c r="C1948" s="46" t="s">
        <v>15</v>
      </c>
      <c r="D1948" s="55" t="s">
        <v>43</v>
      </c>
      <c r="E1948" s="55" t="s">
        <v>109</v>
      </c>
      <c r="F1948" s="46" t="s">
        <v>4643</v>
      </c>
      <c r="G1948" s="46" t="n">
        <f aca="false">+5930978704822</f>
        <v>5930978704822</v>
      </c>
      <c r="H1948" s="46" t="s">
        <v>4644</v>
      </c>
      <c r="I1948" s="46"/>
      <c r="J1948" s="1"/>
      <c r="K1948" s="1" t="s">
        <v>21</v>
      </c>
      <c r="L1948" s="1"/>
      <c r="M1948" s="1"/>
      <c r="N1948" s="1"/>
      <c r="O1948" s="1"/>
      <c r="P1948" s="6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customFormat="false" ht="21.75" hidden="false" customHeight="true" outlineLevel="0" collapsed="false">
      <c r="A1949" s="4" t="n">
        <v>43494</v>
      </c>
      <c r="B1949" s="46" t="s">
        <v>1114</v>
      </c>
      <c r="C1949" s="46" t="s">
        <v>15</v>
      </c>
      <c r="D1949" s="55" t="s">
        <v>43</v>
      </c>
      <c r="E1949" s="55" t="s">
        <v>109</v>
      </c>
      <c r="F1949" s="46" t="s">
        <v>4645</v>
      </c>
      <c r="G1949" s="46" t="n">
        <f aca="false">+593988755707</f>
        <v>593988755707</v>
      </c>
      <c r="H1949" s="46" t="s">
        <v>4646</v>
      </c>
      <c r="I1949" s="46"/>
      <c r="J1949" s="1"/>
      <c r="K1949" s="1" t="s">
        <v>21</v>
      </c>
      <c r="L1949" s="1"/>
      <c r="M1949" s="1"/>
      <c r="N1949" s="1"/>
      <c r="O1949" s="1"/>
      <c r="P1949" s="6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customFormat="false" ht="21.75" hidden="false" customHeight="true" outlineLevel="0" collapsed="false">
      <c r="A1950" s="4" t="n">
        <v>43494</v>
      </c>
      <c r="B1950" s="46" t="s">
        <v>415</v>
      </c>
      <c r="C1950" s="46" t="s">
        <v>26</v>
      </c>
      <c r="D1950" s="55" t="s">
        <v>43</v>
      </c>
      <c r="E1950" s="55" t="s">
        <v>109</v>
      </c>
      <c r="F1950" s="46" t="s">
        <v>4647</v>
      </c>
      <c r="G1950" s="46" t="n">
        <f aca="false">+5930994256034</f>
        <v>5930994256034</v>
      </c>
      <c r="H1950" s="46" t="s">
        <v>4648</v>
      </c>
      <c r="I1950" s="46"/>
      <c r="J1950" s="1"/>
      <c r="K1950" s="1" t="s">
        <v>21</v>
      </c>
      <c r="L1950" s="1"/>
      <c r="M1950" s="1"/>
      <c r="N1950" s="1"/>
      <c r="O1950" s="1"/>
      <c r="P1950" s="6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customFormat="false" ht="21.75" hidden="false" customHeight="true" outlineLevel="0" collapsed="false">
      <c r="A1951" s="4" t="n">
        <v>43494</v>
      </c>
      <c r="B1951" s="46" t="s">
        <v>48</v>
      </c>
      <c r="C1951" s="46" t="s">
        <v>15</v>
      </c>
      <c r="D1951" s="55" t="s">
        <v>43</v>
      </c>
      <c r="E1951" s="55" t="s">
        <v>109</v>
      </c>
      <c r="F1951" s="46" t="s">
        <v>4649</v>
      </c>
      <c r="G1951" s="46" t="n">
        <f aca="false">+593959570777</f>
        <v>593959570777</v>
      </c>
      <c r="H1951" s="46" t="s">
        <v>4650</v>
      </c>
      <c r="I1951" s="46"/>
      <c r="J1951" s="1"/>
      <c r="K1951" s="1" t="s">
        <v>21</v>
      </c>
      <c r="L1951" s="1"/>
      <c r="M1951" s="1"/>
      <c r="N1951" s="1"/>
      <c r="O1951" s="1"/>
      <c r="P1951" s="6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customFormat="false" ht="21.75" hidden="false" customHeight="true" outlineLevel="0" collapsed="false">
      <c r="A1952" s="4" t="n">
        <v>43494</v>
      </c>
      <c r="B1952" s="46" t="s">
        <v>42</v>
      </c>
      <c r="C1952" s="46" t="s">
        <v>15</v>
      </c>
      <c r="D1952" s="55" t="s">
        <v>43</v>
      </c>
      <c r="E1952" s="55" t="s">
        <v>109</v>
      </c>
      <c r="F1952" s="46" t="s">
        <v>4651</v>
      </c>
      <c r="G1952" s="46" t="n">
        <f aca="false">+593968153833</f>
        <v>593968153833</v>
      </c>
      <c r="H1952" s="46" t="s">
        <v>4652</v>
      </c>
      <c r="I1952" s="46"/>
      <c r="J1952" s="1"/>
      <c r="K1952" s="1" t="s">
        <v>21</v>
      </c>
      <c r="L1952" s="1"/>
      <c r="M1952" s="1"/>
      <c r="N1952" s="1"/>
      <c r="O1952" s="1"/>
      <c r="P1952" s="6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customFormat="false" ht="21.75" hidden="false" customHeight="true" outlineLevel="0" collapsed="false">
      <c r="A1953" s="4" t="n">
        <v>43494</v>
      </c>
      <c r="B1953" s="46" t="s">
        <v>178</v>
      </c>
      <c r="C1953" s="46" t="s">
        <v>15</v>
      </c>
      <c r="D1953" s="55" t="s">
        <v>43</v>
      </c>
      <c r="E1953" s="55" t="s">
        <v>109</v>
      </c>
      <c r="F1953" s="46" t="s">
        <v>3429</v>
      </c>
      <c r="G1953" s="46" t="n">
        <f aca="false">+593994919130</f>
        <v>593994919130</v>
      </c>
      <c r="H1953" s="46" t="s">
        <v>3430</v>
      </c>
      <c r="I1953" s="46"/>
      <c r="J1953" s="1"/>
      <c r="K1953" s="1" t="s">
        <v>21</v>
      </c>
      <c r="L1953" s="1"/>
      <c r="M1953" s="1"/>
      <c r="N1953" s="1"/>
      <c r="O1953" s="1"/>
      <c r="P1953" s="6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customFormat="false" ht="21.75" hidden="false" customHeight="true" outlineLevel="0" collapsed="false">
      <c r="A1954" s="4" t="n">
        <v>43494</v>
      </c>
      <c r="B1954" s="46" t="s">
        <v>48</v>
      </c>
      <c r="C1954" s="46" t="s">
        <v>15</v>
      </c>
      <c r="D1954" s="55" t="s">
        <v>43</v>
      </c>
      <c r="E1954" s="55" t="s">
        <v>109</v>
      </c>
      <c r="F1954" s="46" t="s">
        <v>4653</v>
      </c>
      <c r="G1954" s="46" t="n">
        <f aca="false">+593993016578</f>
        <v>593993016578</v>
      </c>
      <c r="H1954" s="46" t="s">
        <v>4654</v>
      </c>
      <c r="I1954" s="46"/>
      <c r="J1954" s="1"/>
      <c r="K1954" s="1" t="s">
        <v>21</v>
      </c>
      <c r="L1954" s="1"/>
      <c r="M1954" s="1"/>
      <c r="N1954" s="1"/>
      <c r="O1954" s="1"/>
      <c r="P1954" s="6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customFormat="false" ht="21.75" hidden="false" customHeight="true" outlineLevel="0" collapsed="false">
      <c r="A1955" s="4" t="n">
        <v>43494</v>
      </c>
      <c r="B1955" s="46" t="s">
        <v>1114</v>
      </c>
      <c r="C1955" s="46" t="s">
        <v>15</v>
      </c>
      <c r="D1955" s="55" t="s">
        <v>43</v>
      </c>
      <c r="E1955" s="55" t="s">
        <v>109</v>
      </c>
      <c r="F1955" s="46" t="s">
        <v>4655</v>
      </c>
      <c r="G1955" s="46" t="n">
        <f aca="false">+5930990308830</f>
        <v>5930990308830</v>
      </c>
      <c r="H1955" s="46" t="s">
        <v>4656</v>
      </c>
      <c r="I1955" s="46"/>
      <c r="J1955" s="1"/>
      <c r="K1955" s="1" t="s">
        <v>21</v>
      </c>
      <c r="L1955" s="1"/>
      <c r="M1955" s="1"/>
      <c r="N1955" s="1"/>
      <c r="O1955" s="1"/>
      <c r="P1955" s="6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customFormat="false" ht="21.75" hidden="false" customHeight="true" outlineLevel="0" collapsed="false">
      <c r="A1956" s="4" t="n">
        <v>43494</v>
      </c>
      <c r="B1956" s="46" t="s">
        <v>1114</v>
      </c>
      <c r="C1956" s="46" t="s">
        <v>15</v>
      </c>
      <c r="D1956" s="55" t="s">
        <v>43</v>
      </c>
      <c r="E1956" s="55" t="s">
        <v>109</v>
      </c>
      <c r="F1956" s="46" t="s">
        <v>4657</v>
      </c>
      <c r="G1956" s="46" t="n">
        <f aca="false">+593998732535</f>
        <v>593998732535</v>
      </c>
      <c r="H1956" s="46" t="s">
        <v>4658</v>
      </c>
      <c r="I1956" s="46"/>
      <c r="J1956" s="1"/>
      <c r="K1956" s="1" t="s">
        <v>21</v>
      </c>
      <c r="L1956" s="1"/>
      <c r="M1956" s="1"/>
      <c r="N1956" s="1"/>
      <c r="O1956" s="1"/>
      <c r="P1956" s="6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customFormat="false" ht="21.75" hidden="false" customHeight="true" outlineLevel="0" collapsed="false">
      <c r="A1957" s="4" t="n">
        <v>43494</v>
      </c>
      <c r="B1957" s="46" t="s">
        <v>48</v>
      </c>
      <c r="C1957" s="46" t="s">
        <v>15</v>
      </c>
      <c r="D1957" s="55" t="s">
        <v>43</v>
      </c>
      <c r="E1957" s="55" t="s">
        <v>109</v>
      </c>
      <c r="F1957" s="46" t="s">
        <v>4659</v>
      </c>
      <c r="G1957" s="46" t="n">
        <f aca="false">+5930969986720</f>
        <v>5930969986720</v>
      </c>
      <c r="H1957" s="46" t="s">
        <v>4660</v>
      </c>
      <c r="I1957" s="46"/>
      <c r="J1957" s="1"/>
      <c r="K1957" s="1" t="s">
        <v>21</v>
      </c>
      <c r="L1957" s="1"/>
      <c r="M1957" s="1"/>
      <c r="N1957" s="1"/>
      <c r="O1957" s="1"/>
      <c r="P1957" s="6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customFormat="false" ht="21.75" hidden="false" customHeight="true" outlineLevel="0" collapsed="false">
      <c r="A1958" s="4" t="n">
        <v>43494</v>
      </c>
      <c r="B1958" s="46" t="s">
        <v>48</v>
      </c>
      <c r="C1958" s="46" t="s">
        <v>15</v>
      </c>
      <c r="D1958" s="55" t="s">
        <v>43</v>
      </c>
      <c r="E1958" s="55" t="s">
        <v>109</v>
      </c>
      <c r="F1958" s="46" t="s">
        <v>4661</v>
      </c>
      <c r="G1958" s="46" t="n">
        <f aca="false">+593991361119</f>
        <v>593991361119</v>
      </c>
      <c r="H1958" s="46" t="s">
        <v>4662</v>
      </c>
      <c r="I1958" s="46"/>
      <c r="J1958" s="1"/>
      <c r="K1958" s="1" t="s">
        <v>21</v>
      </c>
      <c r="L1958" s="1"/>
      <c r="M1958" s="1"/>
      <c r="N1958" s="1"/>
      <c r="O1958" s="1"/>
      <c r="P1958" s="6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customFormat="false" ht="21.75" hidden="false" customHeight="true" outlineLevel="0" collapsed="false">
      <c r="A1959" s="4" t="n">
        <v>43494</v>
      </c>
      <c r="B1959" s="46" t="s">
        <v>1114</v>
      </c>
      <c r="C1959" s="46" t="s">
        <v>15</v>
      </c>
      <c r="D1959" s="55" t="s">
        <v>43</v>
      </c>
      <c r="E1959" s="55" t="s">
        <v>109</v>
      </c>
      <c r="F1959" s="46" t="s">
        <v>4663</v>
      </c>
      <c r="G1959" s="46" t="n">
        <f aca="false">+593984337713</f>
        <v>593984337713</v>
      </c>
      <c r="H1959" s="46" t="s">
        <v>4664</v>
      </c>
      <c r="I1959" s="46"/>
      <c r="J1959" s="1"/>
      <c r="K1959" s="1" t="s">
        <v>21</v>
      </c>
      <c r="L1959" s="1"/>
      <c r="M1959" s="1"/>
      <c r="N1959" s="1"/>
      <c r="O1959" s="1"/>
      <c r="P1959" s="6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customFormat="false" ht="21.75" hidden="false" customHeight="true" outlineLevel="0" collapsed="false">
      <c r="A1960" s="4" t="n">
        <v>43494</v>
      </c>
      <c r="B1960" s="46" t="s">
        <v>48</v>
      </c>
      <c r="C1960" s="46" t="s">
        <v>15</v>
      </c>
      <c r="D1960" s="55" t="s">
        <v>43</v>
      </c>
      <c r="E1960" s="55" t="s">
        <v>109</v>
      </c>
      <c r="F1960" s="46" t="s">
        <v>4665</v>
      </c>
      <c r="G1960" s="46" t="n">
        <f aca="false">+593991217122</f>
        <v>593991217122</v>
      </c>
      <c r="H1960" s="46" t="s">
        <v>4666</v>
      </c>
      <c r="I1960" s="46"/>
      <c r="J1960" s="1"/>
      <c r="K1960" s="1" t="s">
        <v>1864</v>
      </c>
      <c r="L1960" s="1"/>
      <c r="M1960" s="1"/>
      <c r="N1960" s="1"/>
      <c r="O1960" s="1"/>
      <c r="P1960" s="6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customFormat="false" ht="21.75" hidden="false" customHeight="true" outlineLevel="0" collapsed="false">
      <c r="A1961" s="4" t="n">
        <v>43494</v>
      </c>
      <c r="B1961" s="46" t="s">
        <v>532</v>
      </c>
      <c r="C1961" s="46" t="s">
        <v>15</v>
      </c>
      <c r="D1961" s="55" t="s">
        <v>43</v>
      </c>
      <c r="E1961" s="55" t="s">
        <v>109</v>
      </c>
      <c r="F1961" s="46" t="s">
        <v>4667</v>
      </c>
      <c r="G1961" s="46" t="n">
        <f aca="false">+593986827564</f>
        <v>593986827564</v>
      </c>
      <c r="H1961" s="46" t="s">
        <v>4668</v>
      </c>
      <c r="I1961" s="46"/>
      <c r="J1961" s="1"/>
      <c r="K1961" s="1" t="s">
        <v>4669</v>
      </c>
      <c r="L1961" s="1"/>
      <c r="M1961" s="1"/>
      <c r="N1961" s="1"/>
      <c r="O1961" s="1"/>
      <c r="P1961" s="6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customFormat="false" ht="21.75" hidden="false" customHeight="true" outlineLevel="0" collapsed="false">
      <c r="A1962" s="4" t="n">
        <v>43494</v>
      </c>
      <c r="B1962" s="46" t="s">
        <v>48</v>
      </c>
      <c r="C1962" s="46" t="s">
        <v>15</v>
      </c>
      <c r="D1962" s="55" t="s">
        <v>43</v>
      </c>
      <c r="E1962" s="55" t="s">
        <v>109</v>
      </c>
      <c r="F1962" s="46" t="s">
        <v>4670</v>
      </c>
      <c r="G1962" s="46" t="n">
        <f aca="false">+593987005918</f>
        <v>593987005918</v>
      </c>
      <c r="H1962" s="46" t="s">
        <v>4671</v>
      </c>
      <c r="I1962" s="46"/>
      <c r="J1962" s="1"/>
      <c r="K1962" s="1" t="s">
        <v>4672</v>
      </c>
      <c r="L1962" s="1"/>
      <c r="M1962" s="1"/>
      <c r="N1962" s="1"/>
      <c r="O1962" s="1"/>
      <c r="P1962" s="6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customFormat="false" ht="21.75" hidden="false" customHeight="true" outlineLevel="0" collapsed="false">
      <c r="A1963" s="4" t="n">
        <v>43494</v>
      </c>
      <c r="B1963" s="46" t="s">
        <v>178</v>
      </c>
      <c r="C1963" s="46" t="s">
        <v>15</v>
      </c>
      <c r="D1963" s="55" t="s">
        <v>43</v>
      </c>
      <c r="E1963" s="55" t="s">
        <v>109</v>
      </c>
      <c r="F1963" s="46" t="s">
        <v>4673</v>
      </c>
      <c r="G1963" s="46" t="n">
        <f aca="false">+593986057811</f>
        <v>593986057811</v>
      </c>
      <c r="H1963" s="46" t="s">
        <v>4674</v>
      </c>
      <c r="I1963" s="46"/>
      <c r="J1963" s="1"/>
      <c r="K1963" s="1" t="s">
        <v>21</v>
      </c>
      <c r="L1963" s="1"/>
      <c r="M1963" s="1"/>
      <c r="N1963" s="1"/>
      <c r="O1963" s="1"/>
      <c r="P1963" s="6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customFormat="false" ht="21.75" hidden="false" customHeight="true" outlineLevel="0" collapsed="false">
      <c r="A1964" s="4" t="n">
        <v>43494</v>
      </c>
      <c r="B1964" s="46" t="s">
        <v>352</v>
      </c>
      <c r="C1964" s="46" t="s">
        <v>15</v>
      </c>
      <c r="D1964" s="55" t="s">
        <v>43</v>
      </c>
      <c r="E1964" s="55" t="s">
        <v>109</v>
      </c>
      <c r="F1964" s="46" t="s">
        <v>4675</v>
      </c>
      <c r="G1964" s="57" t="n">
        <v>980966295</v>
      </c>
      <c r="H1964" s="46" t="s">
        <v>4676</v>
      </c>
      <c r="I1964" s="46"/>
      <c r="J1964" s="1"/>
      <c r="K1964" s="1" t="s">
        <v>21</v>
      </c>
      <c r="L1964" s="1"/>
      <c r="M1964" s="1"/>
      <c r="N1964" s="1"/>
      <c r="O1964" s="1"/>
      <c r="P1964" s="6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customFormat="false" ht="21.75" hidden="false" customHeight="true" outlineLevel="0" collapsed="false">
      <c r="A1965" s="4" t="n">
        <v>43494</v>
      </c>
      <c r="B1965" s="46" t="s">
        <v>178</v>
      </c>
      <c r="C1965" s="46" t="s">
        <v>15</v>
      </c>
      <c r="D1965" s="55" t="s">
        <v>43</v>
      </c>
      <c r="E1965" s="55" t="s">
        <v>109</v>
      </c>
      <c r="F1965" s="46" t="s">
        <v>4677</v>
      </c>
      <c r="G1965" s="46" t="n">
        <f aca="false">+593981406786</f>
        <v>593981406786</v>
      </c>
      <c r="H1965" s="46" t="s">
        <v>4678</v>
      </c>
      <c r="I1965" s="46"/>
      <c r="J1965" s="1"/>
      <c r="K1965" s="1" t="s">
        <v>21</v>
      </c>
      <c r="L1965" s="1"/>
      <c r="M1965" s="1"/>
      <c r="N1965" s="1"/>
      <c r="O1965" s="1"/>
      <c r="P1965" s="6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customFormat="false" ht="21.75" hidden="false" customHeight="true" outlineLevel="0" collapsed="false">
      <c r="A1966" s="4" t="n">
        <v>43494</v>
      </c>
      <c r="B1966" s="46" t="s">
        <v>415</v>
      </c>
      <c r="C1966" s="46" t="s">
        <v>15</v>
      </c>
      <c r="D1966" s="55" t="s">
        <v>43</v>
      </c>
      <c r="E1966" s="55" t="s">
        <v>109</v>
      </c>
      <c r="F1966" s="46" t="s">
        <v>4184</v>
      </c>
      <c r="G1966" s="46" t="n">
        <f aca="false">+593986234974</f>
        <v>593986234974</v>
      </c>
      <c r="H1966" s="46" t="s">
        <v>4105</v>
      </c>
      <c r="I1966" s="46"/>
      <c r="J1966" s="1"/>
      <c r="K1966" s="1" t="s">
        <v>21</v>
      </c>
      <c r="L1966" s="1"/>
      <c r="M1966" s="1"/>
      <c r="N1966" s="1"/>
      <c r="O1966" s="1"/>
      <c r="P1966" s="6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customFormat="false" ht="21.75" hidden="false" customHeight="true" outlineLevel="0" collapsed="false">
      <c r="A1967" s="4" t="n">
        <v>43494</v>
      </c>
      <c r="B1967" s="46" t="s">
        <v>127</v>
      </c>
      <c r="C1967" s="46" t="s">
        <v>15</v>
      </c>
      <c r="D1967" s="55" t="s">
        <v>43</v>
      </c>
      <c r="E1967" s="55" t="s">
        <v>109</v>
      </c>
      <c r="F1967" s="46" t="s">
        <v>4679</v>
      </c>
      <c r="G1967" s="46" t="n">
        <f aca="false">+593978935624</f>
        <v>593978935624</v>
      </c>
      <c r="H1967" s="46" t="s">
        <v>4680</v>
      </c>
      <c r="I1967" s="46"/>
      <c r="J1967" s="1"/>
      <c r="K1967" s="1" t="s">
        <v>21</v>
      </c>
      <c r="L1967" s="1"/>
      <c r="M1967" s="1"/>
      <c r="N1967" s="1"/>
      <c r="O1967" s="1"/>
      <c r="P1967" s="6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customFormat="false" ht="21.75" hidden="false" customHeight="true" outlineLevel="0" collapsed="false">
      <c r="A1968" s="4" t="n">
        <v>43494</v>
      </c>
      <c r="B1968" s="46" t="s">
        <v>48</v>
      </c>
      <c r="C1968" s="46" t="s">
        <v>15</v>
      </c>
      <c r="D1968" s="55" t="s">
        <v>43</v>
      </c>
      <c r="E1968" s="55" t="s">
        <v>109</v>
      </c>
      <c r="F1968" s="46" t="s">
        <v>4681</v>
      </c>
      <c r="G1968" s="46" t="n">
        <f aca="false">+5930981647685</f>
        <v>5930981647685</v>
      </c>
      <c r="H1968" s="46" t="s">
        <v>4682</v>
      </c>
      <c r="I1968" s="46"/>
      <c r="J1968" s="1"/>
      <c r="K1968" s="1" t="s">
        <v>4683</v>
      </c>
      <c r="L1968" s="1"/>
      <c r="M1968" s="1"/>
      <c r="N1968" s="1"/>
      <c r="O1968" s="1"/>
      <c r="P1968" s="6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customFormat="false" ht="21.75" hidden="false" customHeight="true" outlineLevel="0" collapsed="false">
      <c r="A1969" s="4" t="n">
        <v>43494</v>
      </c>
      <c r="B1969" s="46" t="s">
        <v>1106</v>
      </c>
      <c r="C1969" s="46" t="s">
        <v>15</v>
      </c>
      <c r="D1969" s="55" t="s">
        <v>43</v>
      </c>
      <c r="E1969" s="55" t="s">
        <v>109</v>
      </c>
      <c r="F1969" s="46" t="s">
        <v>4684</v>
      </c>
      <c r="G1969" s="46" t="n">
        <f aca="false">+5930981106680</f>
        <v>5930981106680</v>
      </c>
      <c r="H1969" s="46" t="s">
        <v>4685</v>
      </c>
      <c r="I1969" s="46"/>
      <c r="J1969" s="1"/>
      <c r="K1969" s="1" t="s">
        <v>21</v>
      </c>
      <c r="L1969" s="1"/>
      <c r="M1969" s="1"/>
      <c r="N1969" s="1"/>
      <c r="O1969" s="1"/>
      <c r="P1969" s="6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customFormat="false" ht="21.75" hidden="false" customHeight="true" outlineLevel="0" collapsed="false">
      <c r="A1970" s="4" t="n">
        <v>43494</v>
      </c>
      <c r="B1970" s="46" t="s">
        <v>1114</v>
      </c>
      <c r="C1970" s="46" t="s">
        <v>15</v>
      </c>
      <c r="D1970" s="55" t="s">
        <v>43</v>
      </c>
      <c r="E1970" s="55" t="s">
        <v>109</v>
      </c>
      <c r="F1970" s="46" t="s">
        <v>4686</v>
      </c>
      <c r="G1970" s="57" t="n">
        <v>968504585</v>
      </c>
      <c r="H1970" s="46" t="s">
        <v>4687</v>
      </c>
      <c r="I1970" s="46"/>
      <c r="J1970" s="1"/>
      <c r="K1970" s="1" t="s">
        <v>21</v>
      </c>
      <c r="L1970" s="1"/>
      <c r="M1970" s="1"/>
      <c r="N1970" s="1"/>
      <c r="O1970" s="1"/>
      <c r="P1970" s="6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customFormat="false" ht="21.75" hidden="false" customHeight="true" outlineLevel="0" collapsed="false">
      <c r="A1971" s="4" t="n">
        <v>43494</v>
      </c>
      <c r="B1971" s="46" t="s">
        <v>1114</v>
      </c>
      <c r="C1971" s="46" t="s">
        <v>15</v>
      </c>
      <c r="D1971" s="55" t="s">
        <v>43</v>
      </c>
      <c r="E1971" s="55" t="s">
        <v>109</v>
      </c>
      <c r="F1971" s="46" t="s">
        <v>4688</v>
      </c>
      <c r="G1971" s="46" t="n">
        <f aca="false">+593959423059</f>
        <v>593959423059</v>
      </c>
      <c r="H1971" s="46" t="s">
        <v>4689</v>
      </c>
      <c r="I1971" s="46"/>
      <c r="J1971" s="1"/>
      <c r="K1971" s="1" t="s">
        <v>21</v>
      </c>
      <c r="L1971" s="1"/>
      <c r="M1971" s="1"/>
      <c r="N1971" s="1"/>
      <c r="O1971" s="1"/>
      <c r="P1971" s="6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customFormat="false" ht="21.75" hidden="false" customHeight="true" outlineLevel="0" collapsed="false">
      <c r="A1972" s="4" t="n">
        <v>43494</v>
      </c>
      <c r="B1972" s="46" t="s">
        <v>532</v>
      </c>
      <c r="C1972" s="46" t="s">
        <v>15</v>
      </c>
      <c r="D1972" s="55" t="s">
        <v>43</v>
      </c>
      <c r="E1972" s="55" t="s">
        <v>109</v>
      </c>
      <c r="F1972" s="46" t="s">
        <v>4690</v>
      </c>
      <c r="G1972" s="46" t="n">
        <f aca="false">+593992081480</f>
        <v>593992081480</v>
      </c>
      <c r="H1972" s="46" t="s">
        <v>4691</v>
      </c>
      <c r="I1972" s="46"/>
      <c r="J1972" s="1"/>
      <c r="K1972" s="1" t="s">
        <v>21</v>
      </c>
      <c r="L1972" s="1"/>
      <c r="M1972" s="1"/>
      <c r="N1972" s="1"/>
      <c r="O1972" s="1"/>
      <c r="P1972" s="6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customFormat="false" ht="21.75" hidden="false" customHeight="true" outlineLevel="0" collapsed="false">
      <c r="A1973" s="4" t="n">
        <v>43494</v>
      </c>
      <c r="B1973" s="46" t="s">
        <v>42</v>
      </c>
      <c r="C1973" s="46" t="s">
        <v>15</v>
      </c>
      <c r="D1973" s="55" t="s">
        <v>43</v>
      </c>
      <c r="E1973" s="55" t="s">
        <v>109</v>
      </c>
      <c r="F1973" s="46" t="s">
        <v>4692</v>
      </c>
      <c r="G1973" s="46" t="n">
        <f aca="false">+593981630687</f>
        <v>593981630687</v>
      </c>
      <c r="H1973" s="46" t="s">
        <v>4693</v>
      </c>
      <c r="I1973" s="46"/>
      <c r="J1973" s="1"/>
      <c r="K1973" s="1" t="s">
        <v>21</v>
      </c>
      <c r="L1973" s="1"/>
      <c r="M1973" s="1"/>
      <c r="N1973" s="1"/>
      <c r="O1973" s="1"/>
      <c r="P1973" s="6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customFormat="false" ht="21.75" hidden="false" customHeight="true" outlineLevel="0" collapsed="false">
      <c r="A1974" s="4" t="n">
        <v>43494</v>
      </c>
      <c r="B1974" s="46" t="s">
        <v>42</v>
      </c>
      <c r="C1974" s="46" t="s">
        <v>15</v>
      </c>
      <c r="D1974" s="55" t="s">
        <v>43</v>
      </c>
      <c r="E1974" s="55" t="s">
        <v>109</v>
      </c>
      <c r="F1974" s="46" t="s">
        <v>4694</v>
      </c>
      <c r="G1974" s="57" t="n">
        <v>981557394</v>
      </c>
      <c r="H1974" s="46" t="s">
        <v>4695</v>
      </c>
      <c r="I1974" s="46"/>
      <c r="J1974" s="1"/>
      <c r="K1974" s="1" t="s">
        <v>21</v>
      </c>
      <c r="L1974" s="1"/>
      <c r="M1974" s="1"/>
      <c r="N1974" s="1"/>
      <c r="O1974" s="1"/>
      <c r="P1974" s="6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customFormat="false" ht="21.75" hidden="false" customHeight="true" outlineLevel="0" collapsed="false">
      <c r="A1975" s="4" t="n">
        <v>43494</v>
      </c>
      <c r="B1975" s="46" t="s">
        <v>48</v>
      </c>
      <c r="C1975" s="46" t="s">
        <v>15</v>
      </c>
      <c r="D1975" s="55" t="s">
        <v>43</v>
      </c>
      <c r="E1975" s="55" t="s">
        <v>109</v>
      </c>
      <c r="F1975" s="46" t="s">
        <v>4696</v>
      </c>
      <c r="G1975" s="46" t="n">
        <f aca="false">+593986801246</f>
        <v>593986801246</v>
      </c>
      <c r="H1975" s="46" t="s">
        <v>4697</v>
      </c>
      <c r="I1975" s="46"/>
      <c r="J1975" s="1"/>
      <c r="K1975" s="1" t="s">
        <v>21</v>
      </c>
      <c r="L1975" s="1"/>
      <c r="M1975" s="1"/>
      <c r="N1975" s="1"/>
      <c r="O1975" s="1"/>
      <c r="P1975" s="6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customFormat="false" ht="21.75" hidden="false" customHeight="true" outlineLevel="0" collapsed="false">
      <c r="A1976" s="4" t="n">
        <v>43494</v>
      </c>
      <c r="B1976" s="46" t="s">
        <v>532</v>
      </c>
      <c r="C1976" s="46" t="s">
        <v>15</v>
      </c>
      <c r="D1976" s="55" t="s">
        <v>43</v>
      </c>
      <c r="E1976" s="55" t="s">
        <v>109</v>
      </c>
      <c r="F1976" s="46" t="s">
        <v>4698</v>
      </c>
      <c r="G1976" s="46" t="n">
        <f aca="false">+593997310881</f>
        <v>593997310881</v>
      </c>
      <c r="H1976" s="46" t="s">
        <v>4699</v>
      </c>
      <c r="I1976" s="46"/>
      <c r="J1976" s="1"/>
      <c r="K1976" s="1" t="s">
        <v>4700</v>
      </c>
      <c r="L1976" s="1"/>
      <c r="M1976" s="1"/>
      <c r="N1976" s="1"/>
      <c r="O1976" s="1"/>
      <c r="P1976" s="6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customFormat="false" ht="21.75" hidden="false" customHeight="true" outlineLevel="0" collapsed="false">
      <c r="A1977" s="4" t="n">
        <v>43494</v>
      </c>
      <c r="B1977" s="46" t="s">
        <v>48</v>
      </c>
      <c r="C1977" s="46" t="s">
        <v>15</v>
      </c>
      <c r="D1977" s="55" t="s">
        <v>43</v>
      </c>
      <c r="E1977" s="55" t="s">
        <v>109</v>
      </c>
      <c r="F1977" s="46" t="s">
        <v>4701</v>
      </c>
      <c r="G1977" s="57" t="n">
        <v>998479748</v>
      </c>
      <c r="H1977" s="46" t="s">
        <v>4702</v>
      </c>
      <c r="I1977" s="46"/>
      <c r="J1977" s="1"/>
      <c r="K1977" s="1" t="s">
        <v>4703</v>
      </c>
      <c r="L1977" s="1"/>
      <c r="M1977" s="1"/>
      <c r="N1977" s="1"/>
      <c r="O1977" s="1"/>
      <c r="P1977" s="6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customFormat="false" ht="21.75" hidden="false" customHeight="true" outlineLevel="0" collapsed="false">
      <c r="A1978" s="4" t="n">
        <v>43494</v>
      </c>
      <c r="B1978" s="46" t="s">
        <v>1478</v>
      </c>
      <c r="C1978" s="46" t="s">
        <v>15</v>
      </c>
      <c r="D1978" s="55" t="s">
        <v>43</v>
      </c>
      <c r="E1978" s="55" t="s">
        <v>109</v>
      </c>
      <c r="F1978" s="46" t="s">
        <v>4704</v>
      </c>
      <c r="G1978" s="46" t="n">
        <f aca="false">+593994937837</f>
        <v>593994937837</v>
      </c>
      <c r="H1978" s="46" t="s">
        <v>4705</v>
      </c>
      <c r="I1978" s="46"/>
      <c r="J1978" s="1"/>
      <c r="K1978" s="1" t="s">
        <v>21</v>
      </c>
      <c r="L1978" s="1"/>
      <c r="M1978" s="1"/>
      <c r="N1978" s="1"/>
      <c r="O1978" s="1"/>
      <c r="P1978" s="6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customFormat="false" ht="21.75" hidden="false" customHeight="true" outlineLevel="0" collapsed="false">
      <c r="A1979" s="4" t="n">
        <v>43494</v>
      </c>
      <c r="B1979" s="46" t="s">
        <v>1106</v>
      </c>
      <c r="C1979" s="46" t="s">
        <v>15</v>
      </c>
      <c r="D1979" s="55" t="s">
        <v>43</v>
      </c>
      <c r="E1979" s="55" t="s">
        <v>109</v>
      </c>
      <c r="F1979" s="46" t="s">
        <v>4706</v>
      </c>
      <c r="G1979" s="46" t="n">
        <f aca="false">+5930968400597</f>
        <v>5930968400597</v>
      </c>
      <c r="H1979" s="46" t="s">
        <v>4707</v>
      </c>
      <c r="I1979" s="46"/>
      <c r="J1979" s="1"/>
      <c r="K1979" s="1" t="s">
        <v>4708</v>
      </c>
      <c r="L1979" s="1"/>
      <c r="M1979" s="1"/>
      <c r="N1979" s="1"/>
      <c r="O1979" s="1"/>
      <c r="P1979" s="6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customFormat="false" ht="21.75" hidden="false" customHeight="true" outlineLevel="0" collapsed="false">
      <c r="A1980" s="4" t="n">
        <v>43494</v>
      </c>
      <c r="B1980" s="46" t="s">
        <v>1106</v>
      </c>
      <c r="C1980" s="46" t="s">
        <v>15</v>
      </c>
      <c r="D1980" s="55" t="s">
        <v>43</v>
      </c>
      <c r="E1980" s="55" t="s">
        <v>109</v>
      </c>
      <c r="F1980" s="46" t="s">
        <v>4709</v>
      </c>
      <c r="G1980" s="46" t="n">
        <f aca="false">+593985331191</f>
        <v>593985331191</v>
      </c>
      <c r="H1980" s="46" t="s">
        <v>4710</v>
      </c>
      <c r="I1980" s="46"/>
      <c r="J1980" s="1"/>
      <c r="K1980" s="1" t="s">
        <v>21</v>
      </c>
      <c r="L1980" s="1"/>
      <c r="M1980" s="1"/>
      <c r="N1980" s="1"/>
      <c r="O1980" s="1"/>
      <c r="P1980" s="6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customFormat="false" ht="21.75" hidden="false" customHeight="true" outlineLevel="0" collapsed="false">
      <c r="A1981" s="4" t="n">
        <v>43494</v>
      </c>
      <c r="B1981" s="46" t="s">
        <v>1114</v>
      </c>
      <c r="C1981" s="46" t="s">
        <v>15</v>
      </c>
      <c r="D1981" s="55" t="s">
        <v>43</v>
      </c>
      <c r="E1981" s="55" t="s">
        <v>109</v>
      </c>
      <c r="F1981" s="46" t="s">
        <v>4253</v>
      </c>
      <c r="G1981" s="46" t="n">
        <f aca="false">+593959605803</f>
        <v>593959605803</v>
      </c>
      <c r="H1981" s="46" t="s">
        <v>4254</v>
      </c>
      <c r="I1981" s="46"/>
      <c r="J1981" s="1"/>
      <c r="K1981" s="1" t="s">
        <v>21</v>
      </c>
      <c r="L1981" s="1"/>
      <c r="M1981" s="1"/>
      <c r="N1981" s="1"/>
      <c r="O1981" s="1"/>
      <c r="P1981" s="6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customFormat="false" ht="21.75" hidden="false" customHeight="true" outlineLevel="0" collapsed="false">
      <c r="A1982" s="4" t="n">
        <v>43494</v>
      </c>
      <c r="B1982" s="46" t="s">
        <v>1478</v>
      </c>
      <c r="C1982" s="46" t="s">
        <v>15</v>
      </c>
      <c r="D1982" s="55" t="s">
        <v>43</v>
      </c>
      <c r="E1982" s="55" t="s">
        <v>109</v>
      </c>
      <c r="F1982" s="46" t="s">
        <v>4711</v>
      </c>
      <c r="G1982" s="46" t="n">
        <f aca="false">+5930981026268</f>
        <v>5930981026268</v>
      </c>
      <c r="H1982" s="46" t="s">
        <v>4712</v>
      </c>
      <c r="I1982" s="46"/>
      <c r="J1982" s="1"/>
      <c r="K1982" s="1" t="s">
        <v>21</v>
      </c>
      <c r="L1982" s="1"/>
      <c r="M1982" s="1"/>
      <c r="N1982" s="1"/>
      <c r="O1982" s="1"/>
      <c r="P1982" s="6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customFormat="false" ht="21.75" hidden="false" customHeight="true" outlineLevel="0" collapsed="false">
      <c r="A1983" s="4" t="n">
        <v>43494</v>
      </c>
      <c r="B1983" s="46" t="s">
        <v>178</v>
      </c>
      <c r="C1983" s="46" t="s">
        <v>15</v>
      </c>
      <c r="D1983" s="55" t="s">
        <v>43</v>
      </c>
      <c r="E1983" s="55" t="s">
        <v>109</v>
      </c>
      <c r="F1983" s="46" t="s">
        <v>4713</v>
      </c>
      <c r="G1983" s="46" t="n">
        <f aca="false">+593981483949</f>
        <v>593981483949</v>
      </c>
      <c r="H1983" s="46" t="s">
        <v>4714</v>
      </c>
      <c r="I1983" s="46"/>
      <c r="J1983" s="1"/>
      <c r="K1983" s="1" t="s">
        <v>21</v>
      </c>
      <c r="L1983" s="1"/>
      <c r="M1983" s="1"/>
      <c r="N1983" s="1"/>
      <c r="O1983" s="1"/>
      <c r="P1983" s="6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customFormat="false" ht="21.75" hidden="false" customHeight="true" outlineLevel="0" collapsed="false">
      <c r="A1984" s="4" t="n">
        <v>43494</v>
      </c>
      <c r="B1984" s="46" t="s">
        <v>48</v>
      </c>
      <c r="C1984" s="46" t="s">
        <v>15</v>
      </c>
      <c r="D1984" s="55" t="s">
        <v>43</v>
      </c>
      <c r="E1984" s="55" t="s">
        <v>109</v>
      </c>
      <c r="F1984" s="46" t="s">
        <v>4715</v>
      </c>
      <c r="G1984" s="46" t="n">
        <f aca="false">+593991737734</f>
        <v>593991737734</v>
      </c>
      <c r="H1984" s="46" t="s">
        <v>4716</v>
      </c>
      <c r="I1984" s="46"/>
      <c r="J1984" s="1"/>
      <c r="K1984" s="1" t="s">
        <v>21</v>
      </c>
      <c r="L1984" s="1"/>
      <c r="M1984" s="1"/>
      <c r="N1984" s="1"/>
      <c r="O1984" s="1"/>
      <c r="P1984" s="6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customFormat="false" ht="21.75" hidden="false" customHeight="true" outlineLevel="0" collapsed="false">
      <c r="A1985" s="4" t="n">
        <v>43494</v>
      </c>
      <c r="B1985" s="46" t="s">
        <v>532</v>
      </c>
      <c r="C1985" s="46" t="s">
        <v>15</v>
      </c>
      <c r="D1985" s="55" t="s">
        <v>43</v>
      </c>
      <c r="E1985" s="55" t="s">
        <v>109</v>
      </c>
      <c r="F1985" s="46" t="s">
        <v>4717</v>
      </c>
      <c r="G1985" s="46" t="n">
        <f aca="false">+5930992055648</f>
        <v>5930992055648</v>
      </c>
      <c r="H1985" s="46" t="s">
        <v>4718</v>
      </c>
      <c r="I1985" s="46"/>
      <c r="J1985" s="1"/>
      <c r="K1985" s="1" t="s">
        <v>21</v>
      </c>
      <c r="L1985" s="1"/>
      <c r="M1985" s="1"/>
      <c r="N1985" s="1"/>
      <c r="O1985" s="1"/>
      <c r="P1985" s="6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customFormat="false" ht="21.75" hidden="false" customHeight="true" outlineLevel="0" collapsed="false">
      <c r="A1986" s="4" t="n">
        <v>43494</v>
      </c>
      <c r="B1986" s="46" t="s">
        <v>48</v>
      </c>
      <c r="C1986" s="46" t="s">
        <v>15</v>
      </c>
      <c r="D1986" s="55" t="s">
        <v>43</v>
      </c>
      <c r="E1986" s="55" t="s">
        <v>109</v>
      </c>
      <c r="F1986" s="46" t="s">
        <v>4719</v>
      </c>
      <c r="G1986" s="46" t="n">
        <f aca="false">+593993787304</f>
        <v>593993787304</v>
      </c>
      <c r="H1986" s="46" t="s">
        <v>4720</v>
      </c>
      <c r="I1986" s="46"/>
      <c r="J1986" s="1"/>
      <c r="K1986" s="1" t="s">
        <v>21</v>
      </c>
      <c r="L1986" s="1"/>
      <c r="M1986" s="1"/>
      <c r="N1986" s="1"/>
      <c r="O1986" s="1"/>
      <c r="P1986" s="6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customFormat="false" ht="21.75" hidden="false" customHeight="true" outlineLevel="0" collapsed="false">
      <c r="A1987" s="4" t="n">
        <v>43494</v>
      </c>
      <c r="B1987" s="53" t="s">
        <v>48</v>
      </c>
      <c r="C1987" s="46" t="s">
        <v>26</v>
      </c>
      <c r="D1987" s="55" t="s">
        <v>43</v>
      </c>
      <c r="E1987" s="55" t="s">
        <v>44</v>
      </c>
      <c r="F1987" s="46" t="s">
        <v>4721</v>
      </c>
      <c r="G1987" s="46" t="n">
        <f aca="false">+593968309342</f>
        <v>593968309342</v>
      </c>
      <c r="H1987" s="46" t="s">
        <v>4722</v>
      </c>
      <c r="I1987" s="46"/>
      <c r="J1987" s="1"/>
      <c r="K1987" s="1" t="s">
        <v>316</v>
      </c>
      <c r="L1987" s="1"/>
      <c r="M1987" s="1"/>
      <c r="N1987" s="1"/>
      <c r="O1987" s="1"/>
      <c r="P1987" s="6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customFormat="false" ht="21.75" hidden="false" customHeight="true" outlineLevel="0" collapsed="false">
      <c r="A1988" s="4" t="n">
        <v>43494</v>
      </c>
      <c r="B1988" s="53" t="s">
        <v>48</v>
      </c>
      <c r="C1988" s="46" t="s">
        <v>15</v>
      </c>
      <c r="D1988" s="55" t="s">
        <v>43</v>
      </c>
      <c r="E1988" s="55" t="s">
        <v>44</v>
      </c>
      <c r="F1988" s="46" t="s">
        <v>4723</v>
      </c>
      <c r="G1988" s="46" t="n">
        <f aca="false">+593987963003</f>
        <v>593987963003</v>
      </c>
      <c r="H1988" s="46" t="s">
        <v>4724</v>
      </c>
      <c r="I1988" s="46"/>
      <c r="J1988" s="1"/>
      <c r="K1988" s="1" t="s">
        <v>21</v>
      </c>
      <c r="L1988" s="1"/>
      <c r="M1988" s="1"/>
      <c r="N1988" s="1"/>
      <c r="O1988" s="1"/>
      <c r="P1988" s="6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customFormat="false" ht="21.75" hidden="false" customHeight="true" outlineLevel="0" collapsed="false">
      <c r="A1989" s="4" t="n">
        <v>43494</v>
      </c>
      <c r="B1989" s="53" t="s">
        <v>48</v>
      </c>
      <c r="C1989" s="46" t="s">
        <v>15</v>
      </c>
      <c r="D1989" s="55" t="s">
        <v>43</v>
      </c>
      <c r="E1989" s="55" t="s">
        <v>44</v>
      </c>
      <c r="F1989" s="46" t="s">
        <v>4725</v>
      </c>
      <c r="G1989" s="46" t="n">
        <f aca="false">+593986161500</f>
        <v>593986161500</v>
      </c>
      <c r="H1989" s="46" t="s">
        <v>4726</v>
      </c>
      <c r="I1989" s="46"/>
      <c r="J1989" s="1"/>
      <c r="K1989" s="1" t="s">
        <v>21</v>
      </c>
      <c r="L1989" s="1"/>
      <c r="M1989" s="1"/>
      <c r="N1989" s="1"/>
      <c r="O1989" s="1"/>
      <c r="P1989" s="6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customFormat="false" ht="21.75" hidden="false" customHeight="true" outlineLevel="0" collapsed="false">
      <c r="A1990" s="4" t="n">
        <v>43494</v>
      </c>
      <c r="B1990" s="53" t="s">
        <v>48</v>
      </c>
      <c r="C1990" s="46" t="s">
        <v>15</v>
      </c>
      <c r="D1990" s="55" t="s">
        <v>43</v>
      </c>
      <c r="E1990" s="55" t="s">
        <v>44</v>
      </c>
      <c r="F1990" s="46" t="s">
        <v>4727</v>
      </c>
      <c r="G1990" s="46" t="n">
        <f aca="false">+593985418197</f>
        <v>593985418197</v>
      </c>
      <c r="H1990" s="46" t="s">
        <v>4728</v>
      </c>
      <c r="I1990" s="46"/>
      <c r="J1990" s="1"/>
      <c r="K1990" s="1" t="s">
        <v>21</v>
      </c>
      <c r="L1990" s="1"/>
      <c r="M1990" s="1"/>
      <c r="N1990" s="1"/>
      <c r="O1990" s="1"/>
      <c r="P1990" s="6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customFormat="false" ht="21.75" hidden="false" customHeight="true" outlineLevel="0" collapsed="false">
      <c r="A1991" s="4" t="n">
        <v>43494</v>
      </c>
      <c r="B1991" s="53" t="s">
        <v>48</v>
      </c>
      <c r="C1991" s="46" t="s">
        <v>15</v>
      </c>
      <c r="D1991" s="55" t="s">
        <v>43</v>
      </c>
      <c r="E1991" s="55" t="s">
        <v>44</v>
      </c>
      <c r="F1991" s="46" t="s">
        <v>4729</v>
      </c>
      <c r="G1991" s="46" t="n">
        <f aca="false">+593998690844</f>
        <v>593998690844</v>
      </c>
      <c r="H1991" s="46" t="s">
        <v>4730</v>
      </c>
      <c r="I1991" s="46"/>
      <c r="J1991" s="1"/>
      <c r="K1991" s="1" t="s">
        <v>4731</v>
      </c>
      <c r="L1991" s="1"/>
      <c r="M1991" s="1"/>
      <c r="N1991" s="1"/>
      <c r="O1991" s="1"/>
      <c r="P1991" s="6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customFormat="false" ht="21.75" hidden="false" customHeight="true" outlineLevel="0" collapsed="false">
      <c r="A1992" s="4" t="n">
        <v>43494</v>
      </c>
      <c r="B1992" s="53" t="s">
        <v>48</v>
      </c>
      <c r="C1992" s="46" t="s">
        <v>15</v>
      </c>
      <c r="D1992" s="55" t="s">
        <v>43</v>
      </c>
      <c r="E1992" s="55" t="s">
        <v>44</v>
      </c>
      <c r="F1992" s="46" t="s">
        <v>4732</v>
      </c>
      <c r="G1992" s="46" t="n">
        <f aca="false">+5930958641609</f>
        <v>5930958641609</v>
      </c>
      <c r="H1992" s="46" t="s">
        <v>4733</v>
      </c>
      <c r="I1992" s="46"/>
      <c r="J1992" s="1"/>
      <c r="K1992" s="1" t="s">
        <v>4734</v>
      </c>
      <c r="L1992" s="1"/>
      <c r="M1992" s="1"/>
      <c r="N1992" s="1"/>
      <c r="O1992" s="1"/>
      <c r="P1992" s="6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customFormat="false" ht="21.75" hidden="false" customHeight="true" outlineLevel="0" collapsed="false">
      <c r="A1993" s="4" t="n">
        <v>43494</v>
      </c>
      <c r="B1993" s="53" t="s">
        <v>48</v>
      </c>
      <c r="C1993" s="46" t="s">
        <v>15</v>
      </c>
      <c r="D1993" s="55" t="s">
        <v>43</v>
      </c>
      <c r="E1993" s="55" t="s">
        <v>44</v>
      </c>
      <c r="F1993" s="46" t="s">
        <v>4735</v>
      </c>
      <c r="G1993" s="46" t="n">
        <f aca="false">+593986360030</f>
        <v>593986360030</v>
      </c>
      <c r="H1993" s="46" t="s">
        <v>4736</v>
      </c>
      <c r="I1993" s="46"/>
      <c r="J1993" s="1"/>
      <c r="K1993" s="1" t="s">
        <v>21</v>
      </c>
      <c r="L1993" s="1"/>
      <c r="M1993" s="1"/>
      <c r="N1993" s="1"/>
      <c r="O1993" s="1"/>
      <c r="P1993" s="6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customFormat="false" ht="21.75" hidden="false" customHeight="true" outlineLevel="0" collapsed="false">
      <c r="A1994" s="4" t="n">
        <v>43494</v>
      </c>
      <c r="B1994" s="53" t="s">
        <v>48</v>
      </c>
      <c r="C1994" s="46" t="s">
        <v>15</v>
      </c>
      <c r="D1994" s="55" t="s">
        <v>43</v>
      </c>
      <c r="E1994" s="55" t="s">
        <v>44</v>
      </c>
      <c r="F1994" s="46" t="s">
        <v>4737</v>
      </c>
      <c r="G1994" s="46" t="n">
        <f aca="false">+593978910441</f>
        <v>593978910441</v>
      </c>
      <c r="H1994" s="46" t="s">
        <v>4738</v>
      </c>
      <c r="I1994" s="46"/>
      <c r="J1994" s="1"/>
      <c r="K1994" s="1" t="s">
        <v>21</v>
      </c>
      <c r="L1994" s="1"/>
      <c r="M1994" s="1"/>
      <c r="N1994" s="1"/>
      <c r="O1994" s="1"/>
      <c r="P1994" s="6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customFormat="false" ht="21.75" hidden="false" customHeight="true" outlineLevel="0" collapsed="false">
      <c r="A1995" s="4" t="n">
        <v>43494</v>
      </c>
      <c r="B1995" s="53" t="s">
        <v>48</v>
      </c>
      <c r="C1995" s="46" t="s">
        <v>15</v>
      </c>
      <c r="D1995" s="55" t="s">
        <v>43</v>
      </c>
      <c r="E1995" s="55" t="s">
        <v>44</v>
      </c>
      <c r="F1995" s="46" t="s">
        <v>4739</v>
      </c>
      <c r="G1995" s="46" t="n">
        <f aca="false">+593939471829</f>
        <v>593939471829</v>
      </c>
      <c r="H1995" s="46" t="s">
        <v>4740</v>
      </c>
      <c r="I1995" s="46"/>
      <c r="J1995" s="1"/>
      <c r="K1995" s="11" t="s">
        <v>21</v>
      </c>
      <c r="L1995" s="1"/>
      <c r="M1995" s="1"/>
      <c r="N1995" s="1"/>
      <c r="O1995" s="1"/>
      <c r="P1995" s="6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customFormat="false" ht="21.75" hidden="false" customHeight="true" outlineLevel="0" collapsed="false">
      <c r="A1996" s="4" t="n">
        <v>43494</v>
      </c>
      <c r="B1996" s="53" t="s">
        <v>127</v>
      </c>
      <c r="C1996" s="46" t="s">
        <v>15</v>
      </c>
      <c r="D1996" s="55" t="s">
        <v>43</v>
      </c>
      <c r="E1996" s="55" t="s">
        <v>44</v>
      </c>
      <c r="F1996" s="46" t="s">
        <v>4741</v>
      </c>
      <c r="G1996" s="46" t="n">
        <f aca="false">+593959617780</f>
        <v>593959617780</v>
      </c>
      <c r="H1996" s="46" t="s">
        <v>4742</v>
      </c>
      <c r="I1996" s="46"/>
      <c r="J1996" s="1"/>
      <c r="K1996" s="1" t="s">
        <v>4743</v>
      </c>
      <c r="L1996" s="1"/>
      <c r="M1996" s="1"/>
      <c r="N1996" s="1"/>
      <c r="O1996" s="1"/>
      <c r="P1996" s="6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customFormat="false" ht="21.75" hidden="false" customHeight="true" outlineLevel="0" collapsed="false">
      <c r="A1997" s="4" t="n">
        <v>43494</v>
      </c>
      <c r="B1997" s="53" t="s">
        <v>127</v>
      </c>
      <c r="C1997" s="46" t="s">
        <v>15</v>
      </c>
      <c r="D1997" s="55" t="s">
        <v>43</v>
      </c>
      <c r="E1997" s="55" t="s">
        <v>44</v>
      </c>
      <c r="F1997" s="46" t="s">
        <v>4744</v>
      </c>
      <c r="G1997" s="46" t="n">
        <f aca="false">+5930995079959</f>
        <v>5930995079959</v>
      </c>
      <c r="H1997" s="46" t="s">
        <v>4745</v>
      </c>
      <c r="I1997" s="46"/>
      <c r="J1997" s="1"/>
      <c r="K1997" s="1" t="s">
        <v>1065</v>
      </c>
      <c r="L1997" s="1"/>
      <c r="M1997" s="1"/>
      <c r="N1997" s="1"/>
      <c r="O1997" s="1"/>
      <c r="P1997" s="6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customFormat="false" ht="21.75" hidden="false" customHeight="true" outlineLevel="0" collapsed="false">
      <c r="A1998" s="4" t="n">
        <v>43494</v>
      </c>
      <c r="B1998" s="53" t="s">
        <v>42</v>
      </c>
      <c r="C1998" s="46" t="s">
        <v>15</v>
      </c>
      <c r="D1998" s="55" t="s">
        <v>43</v>
      </c>
      <c r="E1998" s="55" t="s">
        <v>44</v>
      </c>
      <c r="F1998" s="46" t="s">
        <v>4746</v>
      </c>
      <c r="G1998" s="46" t="n">
        <f aca="false">+593991311720</f>
        <v>593991311720</v>
      </c>
      <c r="H1998" s="46" t="s">
        <v>4747</v>
      </c>
      <c r="I1998" s="46"/>
      <c r="J1998" s="1"/>
      <c r="K1998" s="1" t="s">
        <v>21</v>
      </c>
      <c r="L1998" s="1"/>
      <c r="M1998" s="1"/>
      <c r="N1998" s="1"/>
      <c r="O1998" s="1"/>
      <c r="P1998" s="6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customFormat="false" ht="21.75" hidden="false" customHeight="true" outlineLevel="0" collapsed="false">
      <c r="A1999" s="4" t="n">
        <v>43494</v>
      </c>
      <c r="B1999" s="53" t="s">
        <v>415</v>
      </c>
      <c r="C1999" s="46" t="s">
        <v>15</v>
      </c>
      <c r="D1999" s="55" t="s">
        <v>43</v>
      </c>
      <c r="E1999" s="55" t="s">
        <v>44</v>
      </c>
      <c r="F1999" s="46" t="s">
        <v>4748</v>
      </c>
      <c r="G1999" s="46" t="n">
        <f aca="false">+593996678512</f>
        <v>593996678512</v>
      </c>
      <c r="H1999" s="46" t="s">
        <v>4749</v>
      </c>
      <c r="I1999" s="46"/>
      <c r="J1999" s="1"/>
      <c r="K1999" s="1" t="s">
        <v>21</v>
      </c>
      <c r="L1999" s="1"/>
      <c r="M1999" s="1"/>
      <c r="N1999" s="1"/>
      <c r="O1999" s="1"/>
      <c r="P1999" s="6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customFormat="false" ht="21.75" hidden="false" customHeight="true" outlineLevel="0" collapsed="false">
      <c r="A2000" s="4" t="n">
        <v>43494</v>
      </c>
      <c r="B2000" s="53" t="s">
        <v>415</v>
      </c>
      <c r="C2000" s="46" t="s">
        <v>15</v>
      </c>
      <c r="D2000" s="55" t="s">
        <v>43</v>
      </c>
      <c r="E2000" s="55" t="s">
        <v>44</v>
      </c>
      <c r="F2000" s="46" t="s">
        <v>4750</v>
      </c>
      <c r="G2000" s="46" t="n">
        <f aca="false">+593997073711</f>
        <v>593997073711</v>
      </c>
      <c r="H2000" s="46" t="s">
        <v>4751</v>
      </c>
      <c r="I2000" s="46"/>
      <c r="J2000" s="1"/>
      <c r="K2000" s="1" t="s">
        <v>4752</v>
      </c>
      <c r="L2000" s="1"/>
      <c r="M2000" s="1"/>
      <c r="N2000" s="1"/>
      <c r="O2000" s="1"/>
      <c r="P2000" s="6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 customFormat="false" ht="21.75" hidden="false" customHeight="true" outlineLevel="0" collapsed="false">
      <c r="A2001" s="4" t="n">
        <v>43494</v>
      </c>
      <c r="B2001" s="53" t="s">
        <v>415</v>
      </c>
      <c r="C2001" s="46" t="s">
        <v>15</v>
      </c>
      <c r="D2001" s="55" t="s">
        <v>43</v>
      </c>
      <c r="E2001" s="55" t="s">
        <v>44</v>
      </c>
      <c r="F2001" s="46" t="s">
        <v>4753</v>
      </c>
      <c r="G2001" s="46" t="n">
        <f aca="false">+593987730588</f>
        <v>593987730588</v>
      </c>
      <c r="H2001" s="46" t="s">
        <v>4754</v>
      </c>
      <c r="I2001" s="46"/>
      <c r="J2001" s="1"/>
      <c r="K2001" s="1" t="s">
        <v>4755</v>
      </c>
      <c r="L2001" s="1"/>
      <c r="M2001" s="1"/>
      <c r="N2001" s="1"/>
      <c r="O2001" s="1"/>
      <c r="P2001" s="6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 customFormat="false" ht="21.75" hidden="false" customHeight="true" outlineLevel="0" collapsed="false">
      <c r="A2002" s="4" t="n">
        <v>43494</v>
      </c>
      <c r="B2002" s="53" t="s">
        <v>81</v>
      </c>
      <c r="C2002" s="46" t="s">
        <v>15</v>
      </c>
      <c r="D2002" s="55" t="s">
        <v>43</v>
      </c>
      <c r="E2002" s="55" t="s">
        <v>44</v>
      </c>
      <c r="F2002" s="46" t="s">
        <v>4756</v>
      </c>
      <c r="G2002" s="46" t="n">
        <f aca="false">+593981898188</f>
        <v>593981898188</v>
      </c>
      <c r="H2002" s="46" t="s">
        <v>4757</v>
      </c>
      <c r="I2002" s="46"/>
      <c r="J2002" s="1"/>
      <c r="K2002" s="1" t="s">
        <v>21</v>
      </c>
      <c r="L2002" s="1"/>
      <c r="M2002" s="1"/>
      <c r="N2002" s="1"/>
      <c r="O2002" s="1"/>
      <c r="P2002" s="6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 customFormat="false" ht="21.75" hidden="false" customHeight="true" outlineLevel="0" collapsed="false">
      <c r="A2003" s="4" t="n">
        <v>43494</v>
      </c>
      <c r="B2003" s="53" t="s">
        <v>166</v>
      </c>
      <c r="C2003" s="46" t="s">
        <v>15</v>
      </c>
      <c r="D2003" s="46" t="s">
        <v>16</v>
      </c>
      <c r="E2003" s="46" t="s">
        <v>17</v>
      </c>
      <c r="F2003" s="46" t="s">
        <v>4758</v>
      </c>
      <c r="G2003" s="46" t="n">
        <f aca="false">+593969170638</f>
        <v>593969170638</v>
      </c>
      <c r="H2003" s="46" t="s">
        <v>4759</v>
      </c>
      <c r="I2003" s="46"/>
      <c r="J2003" s="1"/>
      <c r="K2003" s="1" t="s">
        <v>21</v>
      </c>
      <c r="L2003" s="1" t="s">
        <v>3372</v>
      </c>
      <c r="M2003" s="1"/>
      <c r="N2003" s="1"/>
      <c r="O2003" s="1"/>
      <c r="P2003" s="6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 customFormat="false" ht="21.75" hidden="false" customHeight="true" outlineLevel="0" collapsed="false">
      <c r="A2004" s="4" t="n">
        <v>43494</v>
      </c>
      <c r="B2004" s="53" t="s">
        <v>166</v>
      </c>
      <c r="C2004" s="46" t="s">
        <v>15</v>
      </c>
      <c r="D2004" s="46" t="s">
        <v>16</v>
      </c>
      <c r="E2004" s="46" t="s">
        <v>17</v>
      </c>
      <c r="F2004" s="46" t="s">
        <v>4760</v>
      </c>
      <c r="G2004" s="46" t="n">
        <f aca="false">+593999381548</f>
        <v>593999381548</v>
      </c>
      <c r="H2004" s="46" t="s">
        <v>4761</v>
      </c>
      <c r="I2004" s="46"/>
      <c r="J2004" s="1"/>
      <c r="K2004" s="1" t="s">
        <v>4762</v>
      </c>
      <c r="L2004" s="1" t="s">
        <v>3372</v>
      </c>
      <c r="M2004" s="1"/>
      <c r="N2004" s="1"/>
      <c r="O2004" s="1"/>
      <c r="P2004" s="6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 customFormat="false" ht="21.75" hidden="false" customHeight="true" outlineLevel="0" collapsed="false">
      <c r="A2005" s="4" t="n">
        <v>43494</v>
      </c>
      <c r="B2005" s="53" t="s">
        <v>301</v>
      </c>
      <c r="C2005" s="46" t="s">
        <v>15</v>
      </c>
      <c r="D2005" s="46" t="s">
        <v>16</v>
      </c>
      <c r="E2005" s="46" t="s">
        <v>17</v>
      </c>
      <c r="F2005" s="46" t="s">
        <v>4763</v>
      </c>
      <c r="G2005" s="46" t="n">
        <f aca="false">+5930968853368</f>
        <v>5930968853368</v>
      </c>
      <c r="H2005" s="46" t="s">
        <v>4764</v>
      </c>
      <c r="I2005" s="46"/>
      <c r="J2005" s="1"/>
      <c r="K2005" s="1" t="s">
        <v>4765</v>
      </c>
      <c r="L2005" s="1" t="s">
        <v>4766</v>
      </c>
      <c r="M2005" s="1"/>
      <c r="N2005" s="1"/>
      <c r="O2005" s="1"/>
      <c r="P2005" s="6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 customFormat="false" ht="21.75" hidden="false" customHeight="true" outlineLevel="0" collapsed="false">
      <c r="A2006" s="4" t="n">
        <v>43494</v>
      </c>
      <c r="B2006" s="53" t="s">
        <v>86</v>
      </c>
      <c r="C2006" s="46" t="s">
        <v>15</v>
      </c>
      <c r="D2006" s="46" t="s">
        <v>16</v>
      </c>
      <c r="E2006" s="46" t="s">
        <v>17</v>
      </c>
      <c r="F2006" s="46" t="s">
        <v>4767</v>
      </c>
      <c r="G2006" s="46" t="n">
        <f aca="false">+593995613375</f>
        <v>593995613375</v>
      </c>
      <c r="H2006" s="46" t="s">
        <v>4768</v>
      </c>
      <c r="I2006" s="46"/>
      <c r="J2006" s="1"/>
      <c r="K2006" s="1" t="s">
        <v>21</v>
      </c>
      <c r="L2006" s="1" t="s">
        <v>3380</v>
      </c>
      <c r="M2006" s="1"/>
      <c r="N2006" s="1"/>
      <c r="O2006" s="1"/>
      <c r="P2006" s="6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 customFormat="false" ht="21.75" hidden="false" customHeight="true" outlineLevel="0" collapsed="false">
      <c r="A2007" s="4" t="n">
        <v>43494</v>
      </c>
      <c r="B2007" s="53" t="s">
        <v>86</v>
      </c>
      <c r="C2007" s="46" t="s">
        <v>15</v>
      </c>
      <c r="D2007" s="46" t="s">
        <v>16</v>
      </c>
      <c r="E2007" s="46" t="s">
        <v>17</v>
      </c>
      <c r="F2007" s="46" t="s">
        <v>4769</v>
      </c>
      <c r="G2007" s="46" t="n">
        <f aca="false">+5930994620827</f>
        <v>5930994620827</v>
      </c>
      <c r="H2007" s="46" t="s">
        <v>4770</v>
      </c>
      <c r="I2007" s="46"/>
      <c r="J2007" s="1"/>
      <c r="K2007" s="1" t="s">
        <v>21</v>
      </c>
      <c r="L2007" s="1" t="s">
        <v>3372</v>
      </c>
      <c r="M2007" s="1"/>
      <c r="N2007" s="1"/>
      <c r="O2007" s="1"/>
      <c r="P2007" s="6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 customFormat="false" ht="21.75" hidden="false" customHeight="true" outlineLevel="0" collapsed="false">
      <c r="A2008" s="4" t="n">
        <v>43494</v>
      </c>
      <c r="B2008" s="53" t="s">
        <v>86</v>
      </c>
      <c r="C2008" s="46" t="s">
        <v>15</v>
      </c>
      <c r="D2008" s="46" t="s">
        <v>16</v>
      </c>
      <c r="E2008" s="46" t="s">
        <v>17</v>
      </c>
      <c r="F2008" s="46" t="s">
        <v>4771</v>
      </c>
      <c r="G2008" s="46" t="n">
        <f aca="false">+5930995589027</f>
        <v>5930995589027</v>
      </c>
      <c r="H2008" s="46" t="s">
        <v>4772</v>
      </c>
      <c r="I2008" s="46"/>
      <c r="J2008" s="1"/>
      <c r="K2008" s="1" t="s">
        <v>21</v>
      </c>
      <c r="L2008" s="1" t="s">
        <v>3372</v>
      </c>
      <c r="M2008" s="1"/>
      <c r="N2008" s="1"/>
      <c r="O2008" s="1"/>
      <c r="P2008" s="6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 customFormat="false" ht="21.75" hidden="false" customHeight="true" outlineLevel="0" collapsed="false">
      <c r="A2009" s="4" t="n">
        <v>43494</v>
      </c>
      <c r="B2009" s="53" t="s">
        <v>86</v>
      </c>
      <c r="C2009" s="46" t="s">
        <v>15</v>
      </c>
      <c r="D2009" s="46" t="s">
        <v>16</v>
      </c>
      <c r="E2009" s="46" t="s">
        <v>17</v>
      </c>
      <c r="F2009" s="46" t="s">
        <v>4773</v>
      </c>
      <c r="G2009" s="46" t="n">
        <f aca="false">+593979304914</f>
        <v>593979304914</v>
      </c>
      <c r="H2009" s="46" t="s">
        <v>4774</v>
      </c>
      <c r="I2009" s="46"/>
      <c r="J2009" s="1"/>
      <c r="K2009" s="1" t="s">
        <v>21</v>
      </c>
      <c r="L2009" s="1" t="s">
        <v>3372</v>
      </c>
      <c r="M2009" s="1"/>
      <c r="N2009" s="1"/>
      <c r="O2009" s="1"/>
      <c r="P2009" s="6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 customFormat="false" ht="21.75" hidden="false" customHeight="true" outlineLevel="0" collapsed="false">
      <c r="A2010" s="4" t="n">
        <v>43494</v>
      </c>
      <c r="B2010" s="53" t="s">
        <v>86</v>
      </c>
      <c r="C2010" s="46" t="s">
        <v>15</v>
      </c>
      <c r="D2010" s="46" t="s">
        <v>16</v>
      </c>
      <c r="E2010" s="46" t="s">
        <v>17</v>
      </c>
      <c r="F2010" s="46" t="s">
        <v>4775</v>
      </c>
      <c r="G2010" s="46" t="n">
        <f aca="false">+5930980391250</f>
        <v>5930980391250</v>
      </c>
      <c r="H2010" s="46" t="s">
        <v>4776</v>
      </c>
      <c r="I2010" s="46"/>
      <c r="J2010" s="1"/>
      <c r="K2010" s="1" t="s">
        <v>21</v>
      </c>
      <c r="L2010" s="1" t="s">
        <v>3372</v>
      </c>
      <c r="M2010" s="1"/>
      <c r="N2010" s="1"/>
      <c r="O2010" s="1"/>
      <c r="P2010" s="6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 customFormat="false" ht="21.75" hidden="false" customHeight="true" outlineLevel="0" collapsed="false">
      <c r="A2011" s="4" t="n">
        <v>43494</v>
      </c>
      <c r="B2011" s="53" t="s">
        <v>14</v>
      </c>
      <c r="C2011" s="46" t="s">
        <v>15</v>
      </c>
      <c r="D2011" s="46" t="s">
        <v>16</v>
      </c>
      <c r="E2011" s="46" t="s">
        <v>17</v>
      </c>
      <c r="F2011" s="46" t="s">
        <v>4777</v>
      </c>
      <c r="G2011" s="46" t="n">
        <f aca="false">+593998519384</f>
        <v>593998519384</v>
      </c>
      <c r="H2011" s="46" t="s">
        <v>4778</v>
      </c>
      <c r="I2011" s="46"/>
      <c r="J2011" s="1"/>
      <c r="K2011" s="1" t="s">
        <v>21</v>
      </c>
      <c r="L2011" s="1" t="s">
        <v>3372</v>
      </c>
      <c r="M2011" s="1"/>
      <c r="N2011" s="1"/>
      <c r="O2011" s="1"/>
      <c r="P2011" s="6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 customFormat="false" ht="21.75" hidden="false" customHeight="true" outlineLevel="0" collapsed="false">
      <c r="A2012" s="4" t="n">
        <v>43494</v>
      </c>
      <c r="B2012" s="53" t="s">
        <v>14</v>
      </c>
      <c r="C2012" s="46" t="s">
        <v>15</v>
      </c>
      <c r="D2012" s="46" t="s">
        <v>16</v>
      </c>
      <c r="E2012" s="46" t="s">
        <v>17</v>
      </c>
      <c r="F2012" s="46" t="s">
        <v>4779</v>
      </c>
      <c r="G2012" s="46" t="n">
        <f aca="false">+593994054041</f>
        <v>593994054041</v>
      </c>
      <c r="H2012" s="46" t="s">
        <v>4780</v>
      </c>
      <c r="I2012" s="46"/>
      <c r="J2012" s="1"/>
      <c r="K2012" s="1" t="s">
        <v>4781</v>
      </c>
      <c r="L2012" s="1" t="s">
        <v>3372</v>
      </c>
      <c r="M2012" s="1"/>
      <c r="N2012" s="1"/>
      <c r="O2012" s="1"/>
      <c r="P2012" s="6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 customFormat="false" ht="21.75" hidden="false" customHeight="true" outlineLevel="0" collapsed="false">
      <c r="A2013" s="4" t="n">
        <v>43494</v>
      </c>
      <c r="B2013" s="53" t="s">
        <v>14</v>
      </c>
      <c r="C2013" s="46" t="s">
        <v>15</v>
      </c>
      <c r="D2013" s="46" t="s">
        <v>16</v>
      </c>
      <c r="E2013" s="46" t="s">
        <v>17</v>
      </c>
      <c r="F2013" s="46" t="s">
        <v>4782</v>
      </c>
      <c r="G2013" s="46" t="n">
        <f aca="false">+593993940215</f>
        <v>593993940215</v>
      </c>
      <c r="H2013" s="46" t="s">
        <v>4783</v>
      </c>
      <c r="I2013" s="46"/>
      <c r="J2013" s="1"/>
      <c r="K2013" s="1" t="s">
        <v>4784</v>
      </c>
      <c r="L2013" s="1" t="s">
        <v>3380</v>
      </c>
      <c r="M2013" s="1"/>
      <c r="N2013" s="1"/>
      <c r="O2013" s="1"/>
      <c r="P2013" s="6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 customFormat="false" ht="21.75" hidden="false" customHeight="true" outlineLevel="0" collapsed="false">
      <c r="A2014" s="4" t="n">
        <v>43494</v>
      </c>
      <c r="B2014" s="53" t="s">
        <v>14</v>
      </c>
      <c r="C2014" s="46" t="s">
        <v>15</v>
      </c>
      <c r="D2014" s="46" t="s">
        <v>16</v>
      </c>
      <c r="E2014" s="46" t="s">
        <v>17</v>
      </c>
      <c r="F2014" s="46" t="s">
        <v>4785</v>
      </c>
      <c r="G2014" s="46" t="n">
        <f aca="false">+593990664354</f>
        <v>593990664354</v>
      </c>
      <c r="H2014" s="46" t="s">
        <v>4786</v>
      </c>
      <c r="I2014" s="46"/>
      <c r="J2014" s="1"/>
      <c r="K2014" s="1" t="s">
        <v>21</v>
      </c>
      <c r="L2014" s="1" t="s">
        <v>3372</v>
      </c>
      <c r="M2014" s="1"/>
      <c r="N2014" s="1"/>
      <c r="O2014" s="1"/>
      <c r="P2014" s="6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 customFormat="false" ht="21.75" hidden="false" customHeight="true" outlineLevel="0" collapsed="false">
      <c r="A2015" s="4" t="n">
        <v>43494</v>
      </c>
      <c r="B2015" s="53" t="s">
        <v>14</v>
      </c>
      <c r="C2015" s="46" t="s">
        <v>15</v>
      </c>
      <c r="D2015" s="46" t="s">
        <v>16</v>
      </c>
      <c r="E2015" s="46" t="s">
        <v>17</v>
      </c>
      <c r="F2015" s="46" t="s">
        <v>4787</v>
      </c>
      <c r="G2015" s="46" t="n">
        <f aca="false">+593996533006</f>
        <v>593996533006</v>
      </c>
      <c r="H2015" s="46" t="s">
        <v>4788</v>
      </c>
      <c r="I2015" s="46"/>
      <c r="J2015" s="1"/>
      <c r="K2015" s="1" t="s">
        <v>21</v>
      </c>
      <c r="L2015" s="1" t="s">
        <v>3372</v>
      </c>
      <c r="M2015" s="1"/>
      <c r="N2015" s="1"/>
      <c r="O2015" s="1"/>
      <c r="P2015" s="6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 customFormat="false" ht="21.75" hidden="false" customHeight="true" outlineLevel="0" collapsed="false">
      <c r="A2016" s="4" t="n">
        <v>43494</v>
      </c>
      <c r="B2016" s="53" t="s">
        <v>14</v>
      </c>
      <c r="C2016" s="46" t="s">
        <v>15</v>
      </c>
      <c r="D2016" s="46" t="s">
        <v>16</v>
      </c>
      <c r="E2016" s="46" t="s">
        <v>17</v>
      </c>
      <c r="F2016" s="46" t="s">
        <v>4789</v>
      </c>
      <c r="G2016" s="46" t="n">
        <f aca="false">+593989511458</f>
        <v>593989511458</v>
      </c>
      <c r="H2016" s="46" t="s">
        <v>4790</v>
      </c>
      <c r="I2016" s="46"/>
      <c r="J2016" s="1"/>
      <c r="K2016" s="1" t="s">
        <v>21</v>
      </c>
      <c r="L2016" s="1" t="s">
        <v>3372</v>
      </c>
      <c r="M2016" s="1"/>
      <c r="N2016" s="1"/>
      <c r="O2016" s="1"/>
      <c r="P2016" s="6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 customFormat="false" ht="21.75" hidden="false" customHeight="true" outlineLevel="0" collapsed="false">
      <c r="A2017" s="4" t="n">
        <v>43494</v>
      </c>
      <c r="B2017" s="53" t="s">
        <v>14</v>
      </c>
      <c r="C2017" s="46" t="s">
        <v>15</v>
      </c>
      <c r="D2017" s="46" t="s">
        <v>16</v>
      </c>
      <c r="E2017" s="46" t="s">
        <v>17</v>
      </c>
      <c r="F2017" s="46" t="s">
        <v>4791</v>
      </c>
      <c r="G2017" s="46" t="n">
        <f aca="false">+593958793476</f>
        <v>593958793476</v>
      </c>
      <c r="H2017" s="46" t="s">
        <v>4792</v>
      </c>
      <c r="I2017" s="46"/>
      <c r="J2017" s="1"/>
      <c r="K2017" s="1" t="s">
        <v>4793</v>
      </c>
      <c r="L2017" s="1" t="s">
        <v>3372</v>
      </c>
      <c r="M2017" s="1"/>
      <c r="N2017" s="1"/>
      <c r="O2017" s="1"/>
      <c r="P2017" s="6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 customFormat="false" ht="21.75" hidden="false" customHeight="true" outlineLevel="0" collapsed="false">
      <c r="A2018" s="4" t="n">
        <v>43494</v>
      </c>
      <c r="B2018" s="53" t="s">
        <v>161</v>
      </c>
      <c r="C2018" s="46" t="s">
        <v>15</v>
      </c>
      <c r="D2018" s="46" t="s">
        <v>16</v>
      </c>
      <c r="E2018" s="46" t="s">
        <v>17</v>
      </c>
      <c r="F2018" s="46" t="s">
        <v>4794</v>
      </c>
      <c r="G2018" s="46" t="n">
        <f aca="false">+593995749149</f>
        <v>593995749149</v>
      </c>
      <c r="H2018" s="46" t="s">
        <v>4795</v>
      </c>
      <c r="I2018" s="46"/>
      <c r="J2018" s="1"/>
      <c r="K2018" s="1" t="s">
        <v>1002</v>
      </c>
      <c r="L2018" s="1" t="s">
        <v>133</v>
      </c>
      <c r="M2018" s="1"/>
      <c r="N2018" s="1"/>
      <c r="O2018" s="1"/>
      <c r="P2018" s="6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 customFormat="false" ht="21.75" hidden="false" customHeight="true" outlineLevel="0" collapsed="false">
      <c r="A2019" s="4" t="n">
        <v>43494</v>
      </c>
      <c r="B2019" s="53" t="s">
        <v>161</v>
      </c>
      <c r="C2019" s="46" t="s">
        <v>15</v>
      </c>
      <c r="D2019" s="46" t="s">
        <v>16</v>
      </c>
      <c r="E2019" s="46" t="s">
        <v>17</v>
      </c>
      <c r="F2019" s="46" t="s">
        <v>4796</v>
      </c>
      <c r="G2019" s="46" t="n">
        <f aca="false">+593990983703</f>
        <v>593990983703</v>
      </c>
      <c r="H2019" s="46" t="s">
        <v>4797</v>
      </c>
      <c r="I2019" s="46"/>
      <c r="J2019" s="1"/>
      <c r="K2019" s="1" t="s">
        <v>345</v>
      </c>
      <c r="L2019" s="1" t="s">
        <v>3372</v>
      </c>
      <c r="M2019" s="1"/>
      <c r="N2019" s="1"/>
      <c r="O2019" s="1"/>
      <c r="P2019" s="6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 customFormat="false" ht="21.75" hidden="false" customHeight="true" outlineLevel="0" collapsed="false">
      <c r="A2020" s="4" t="n">
        <v>43494</v>
      </c>
      <c r="B2020" s="53" t="s">
        <v>286</v>
      </c>
      <c r="C2020" s="46" t="s">
        <v>15</v>
      </c>
      <c r="D2020" s="46" t="s">
        <v>16</v>
      </c>
      <c r="E2020" s="46" t="s">
        <v>17</v>
      </c>
      <c r="F2020" s="46" t="s">
        <v>4798</v>
      </c>
      <c r="G2020" s="46" t="n">
        <f aca="false">+593939023445</f>
        <v>593939023445</v>
      </c>
      <c r="H2020" s="46" t="s">
        <v>4799</v>
      </c>
      <c r="I2020" s="46"/>
      <c r="J2020" s="1"/>
      <c r="K2020" s="1" t="s">
        <v>1857</v>
      </c>
      <c r="L2020" s="1" t="s">
        <v>3372</v>
      </c>
      <c r="M2020" s="1"/>
      <c r="N2020" s="1"/>
      <c r="O2020" s="1"/>
      <c r="P2020" s="6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 customFormat="false" ht="21.75" hidden="false" customHeight="true" outlineLevel="0" collapsed="false">
      <c r="A2021" s="4" t="n">
        <v>43494</v>
      </c>
      <c r="B2021" s="53" t="s">
        <v>48</v>
      </c>
      <c r="C2021" s="46" t="s">
        <v>15</v>
      </c>
      <c r="D2021" s="46" t="s">
        <v>43</v>
      </c>
      <c r="E2021" s="46" t="s">
        <v>109</v>
      </c>
      <c r="F2021" s="46" t="s">
        <v>4800</v>
      </c>
      <c r="G2021" s="58" t="n">
        <v>979979384</v>
      </c>
      <c r="H2021" s="53" t="s">
        <v>4801</v>
      </c>
      <c r="I2021" s="53"/>
      <c r="J2021" s="1"/>
      <c r="K2021" s="1" t="s">
        <v>21</v>
      </c>
      <c r="L2021" s="1"/>
      <c r="M2021" s="1"/>
      <c r="N2021" s="1"/>
      <c r="O2021" s="1"/>
      <c r="P2021" s="6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 customFormat="false" ht="21.75" hidden="false" customHeight="true" outlineLevel="0" collapsed="false">
      <c r="A2022" s="4" t="n">
        <v>43494</v>
      </c>
      <c r="B2022" s="53" t="s">
        <v>48</v>
      </c>
      <c r="C2022" s="46" t="s">
        <v>15</v>
      </c>
      <c r="D2022" s="46" t="s">
        <v>43</v>
      </c>
      <c r="E2022" s="46" t="s">
        <v>109</v>
      </c>
      <c r="F2022" s="50" t="s">
        <v>4802</v>
      </c>
      <c r="G2022" s="51" t="n">
        <v>981772155</v>
      </c>
      <c r="H2022" s="52" t="s">
        <v>4803</v>
      </c>
      <c r="I2022" s="52"/>
      <c r="J2022" s="1"/>
      <c r="K2022" s="1" t="s">
        <v>21</v>
      </c>
      <c r="L2022" s="1"/>
      <c r="M2022" s="1"/>
      <c r="N2022" s="1"/>
      <c r="O2022" s="1"/>
      <c r="P2022" s="6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 customFormat="false" ht="21.75" hidden="false" customHeight="true" outlineLevel="0" collapsed="false">
      <c r="A2023" s="4" t="n">
        <v>43494</v>
      </c>
      <c r="B2023" s="53" t="s">
        <v>127</v>
      </c>
      <c r="C2023" s="46" t="s">
        <v>15</v>
      </c>
      <c r="D2023" s="46" t="s">
        <v>43</v>
      </c>
      <c r="E2023" s="46" t="s">
        <v>109</v>
      </c>
      <c r="F2023" s="50" t="s">
        <v>4804</v>
      </c>
      <c r="G2023" s="51" t="n">
        <v>991505404</v>
      </c>
      <c r="H2023" s="52" t="s">
        <v>4805</v>
      </c>
      <c r="I2023" s="52"/>
      <c r="J2023" s="1"/>
      <c r="K2023" s="1" t="s">
        <v>21</v>
      </c>
      <c r="L2023" s="1"/>
      <c r="M2023" s="1"/>
      <c r="N2023" s="1"/>
      <c r="O2023" s="1"/>
      <c r="P2023" s="6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 customFormat="false" ht="21.75" hidden="false" customHeight="true" outlineLevel="0" collapsed="false">
      <c r="A2024" s="4" t="n">
        <v>43494</v>
      </c>
      <c r="B2024" s="53" t="s">
        <v>166</v>
      </c>
      <c r="C2024" s="46" t="s">
        <v>15</v>
      </c>
      <c r="D2024" s="46" t="s">
        <v>16</v>
      </c>
      <c r="E2024" s="46" t="s">
        <v>17</v>
      </c>
      <c r="F2024" s="50" t="s">
        <v>2867</v>
      </c>
      <c r="G2024" s="51" t="n">
        <v>988028253</v>
      </c>
      <c r="H2024" s="52" t="s">
        <v>4806</v>
      </c>
      <c r="I2024" s="52"/>
      <c r="J2024" s="1"/>
      <c r="K2024" s="1" t="s">
        <v>21</v>
      </c>
      <c r="L2024" s="1" t="s">
        <v>3372</v>
      </c>
      <c r="M2024" s="1"/>
      <c r="N2024" s="1"/>
      <c r="O2024" s="1"/>
      <c r="P2024" s="6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 customFormat="false" ht="21.75" hidden="false" customHeight="true" outlineLevel="0" collapsed="false">
      <c r="A2025" s="4" t="n">
        <v>43494</v>
      </c>
      <c r="B2025" s="53" t="s">
        <v>81</v>
      </c>
      <c r="C2025" s="46" t="s">
        <v>15</v>
      </c>
      <c r="D2025" s="46" t="s">
        <v>43</v>
      </c>
      <c r="E2025" s="46" t="s">
        <v>44</v>
      </c>
      <c r="F2025" s="50" t="s">
        <v>4807</v>
      </c>
      <c r="G2025" s="51" t="n">
        <v>959115427</v>
      </c>
      <c r="H2025" s="52" t="s">
        <v>4808</v>
      </c>
      <c r="I2025" s="52"/>
      <c r="J2025" s="1"/>
      <c r="K2025" s="1" t="s">
        <v>4809</v>
      </c>
      <c r="L2025" s="1"/>
      <c r="M2025" s="1"/>
      <c r="N2025" s="1"/>
      <c r="O2025" s="1"/>
      <c r="P2025" s="6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 customFormat="false" ht="21.75" hidden="false" customHeight="true" outlineLevel="0" collapsed="false">
      <c r="A2026" s="4" t="n">
        <v>43494</v>
      </c>
      <c r="B2026" s="53" t="s">
        <v>1478</v>
      </c>
      <c r="C2026" s="46" t="s">
        <v>15</v>
      </c>
      <c r="D2026" s="46" t="s">
        <v>43</v>
      </c>
      <c r="E2026" s="46" t="s">
        <v>109</v>
      </c>
      <c r="F2026" s="50" t="s">
        <v>4810</v>
      </c>
      <c r="G2026" s="51" t="n">
        <v>985968068</v>
      </c>
      <c r="H2026" s="52" t="s">
        <v>4811</v>
      </c>
      <c r="I2026" s="52"/>
      <c r="J2026" s="1"/>
      <c r="K2026" s="1" t="s">
        <v>21</v>
      </c>
      <c r="L2026" s="1"/>
      <c r="M2026" s="1"/>
      <c r="N2026" s="1"/>
      <c r="O2026" s="1"/>
      <c r="P2026" s="6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 customFormat="false" ht="21.75" hidden="false" customHeight="true" outlineLevel="0" collapsed="false">
      <c r="A2027" s="4" t="n">
        <v>43494</v>
      </c>
      <c r="B2027" s="53" t="s">
        <v>964</v>
      </c>
      <c r="C2027" s="46" t="s">
        <v>15</v>
      </c>
      <c r="D2027" s="46" t="s">
        <v>43</v>
      </c>
      <c r="E2027" s="46" t="s">
        <v>17</v>
      </c>
      <c r="F2027" s="50" t="s">
        <v>4812</v>
      </c>
      <c r="G2027" s="51" t="n">
        <v>961644744</v>
      </c>
      <c r="H2027" s="52" t="s">
        <v>4813</v>
      </c>
      <c r="I2027" s="52"/>
      <c r="J2027" s="1"/>
      <c r="K2027" s="1" t="s">
        <v>21</v>
      </c>
      <c r="L2027" s="1"/>
      <c r="M2027" s="1"/>
      <c r="N2027" s="1"/>
      <c r="O2027" s="1"/>
      <c r="P2027" s="6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 customFormat="false" ht="21.75" hidden="false" customHeight="true" outlineLevel="0" collapsed="false">
      <c r="A2028" s="4" t="n">
        <v>43494</v>
      </c>
      <c r="B2028" s="53" t="s">
        <v>166</v>
      </c>
      <c r="C2028" s="46" t="s">
        <v>15</v>
      </c>
      <c r="D2028" s="46" t="s">
        <v>16</v>
      </c>
      <c r="E2028" s="46" t="s">
        <v>17</v>
      </c>
      <c r="F2028" s="50" t="s">
        <v>4814</v>
      </c>
      <c r="G2028" s="51" t="n">
        <v>99083916</v>
      </c>
      <c r="H2028" s="52" t="s">
        <v>4815</v>
      </c>
      <c r="I2028" s="52"/>
      <c r="J2028" s="1"/>
      <c r="K2028" s="1" t="s">
        <v>21</v>
      </c>
      <c r="L2028" s="1" t="s">
        <v>3372</v>
      </c>
      <c r="M2028" s="1"/>
      <c r="N2028" s="1"/>
      <c r="O2028" s="1"/>
      <c r="P2028" s="6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 customFormat="false" ht="21.75" hidden="false" customHeight="true" outlineLevel="0" collapsed="false">
      <c r="A2029" s="4" t="n">
        <v>43494</v>
      </c>
      <c r="B2029" s="53" t="s">
        <v>48</v>
      </c>
      <c r="C2029" s="46" t="s">
        <v>15</v>
      </c>
      <c r="D2029" s="46" t="s">
        <v>43</v>
      </c>
      <c r="E2029" s="46" t="s">
        <v>109</v>
      </c>
      <c r="F2029" s="50" t="s">
        <v>4816</v>
      </c>
      <c r="G2029" s="51" t="n">
        <v>98950904</v>
      </c>
      <c r="H2029" s="52" t="s">
        <v>4817</v>
      </c>
      <c r="I2029" s="52"/>
      <c r="J2029" s="1"/>
      <c r="K2029" s="1" t="s">
        <v>21</v>
      </c>
      <c r="L2029" s="1"/>
      <c r="M2029" s="1"/>
      <c r="N2029" s="1"/>
      <c r="O2029" s="1"/>
      <c r="P2029" s="6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 customFormat="false" ht="21.75" hidden="false" customHeight="true" outlineLevel="0" collapsed="false">
      <c r="A2030" s="4" t="n">
        <v>43494</v>
      </c>
      <c r="B2030" s="53" t="s">
        <v>14</v>
      </c>
      <c r="C2030" s="46" t="s">
        <v>15</v>
      </c>
      <c r="D2030" s="46" t="s">
        <v>16</v>
      </c>
      <c r="E2030" s="46" t="s">
        <v>17</v>
      </c>
      <c r="F2030" s="50" t="s">
        <v>4818</v>
      </c>
      <c r="G2030" s="51" t="n">
        <v>981097183</v>
      </c>
      <c r="H2030" s="54" t="s">
        <v>4819</v>
      </c>
      <c r="I2030" s="54"/>
      <c r="J2030" s="1"/>
      <c r="K2030" s="1" t="s">
        <v>21</v>
      </c>
      <c r="L2030" s="1" t="s">
        <v>4820</v>
      </c>
      <c r="M2030" s="1"/>
      <c r="N2030" s="1"/>
      <c r="O2030" s="1"/>
      <c r="P2030" s="6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 customFormat="false" ht="21.75" hidden="false" customHeight="true" outlineLevel="0" collapsed="false">
      <c r="A2031" s="4" t="n">
        <v>43494</v>
      </c>
      <c r="B2031" s="53" t="s">
        <v>1114</v>
      </c>
      <c r="C2031" s="46" t="s">
        <v>15</v>
      </c>
      <c r="D2031" s="46" t="s">
        <v>43</v>
      </c>
      <c r="E2031" s="46" t="s">
        <v>109</v>
      </c>
      <c r="F2031" s="50" t="s">
        <v>4821</v>
      </c>
      <c r="G2031" s="51" t="n">
        <v>978934763</v>
      </c>
      <c r="H2031" s="52" t="s">
        <v>4822</v>
      </c>
      <c r="I2031" s="52"/>
      <c r="J2031" s="1"/>
      <c r="K2031" s="1" t="s">
        <v>4823</v>
      </c>
      <c r="L2031" s="1"/>
      <c r="M2031" s="1"/>
      <c r="N2031" s="1"/>
      <c r="O2031" s="1"/>
      <c r="P2031" s="6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 customFormat="false" ht="21.75" hidden="false" customHeight="true" outlineLevel="0" collapsed="false">
      <c r="A2032" s="4" t="n">
        <v>43494</v>
      </c>
      <c r="B2032" s="53" t="s">
        <v>14</v>
      </c>
      <c r="C2032" s="46" t="s">
        <v>15</v>
      </c>
      <c r="D2032" s="46" t="s">
        <v>16</v>
      </c>
      <c r="E2032" s="46" t="s">
        <v>17</v>
      </c>
      <c r="F2032" s="50" t="s">
        <v>4824</v>
      </c>
      <c r="G2032" s="51" t="n">
        <v>985895365</v>
      </c>
      <c r="H2032" s="52" t="s">
        <v>4825</v>
      </c>
      <c r="I2032" s="52"/>
      <c r="J2032" s="1"/>
      <c r="K2032" s="1" t="s">
        <v>21</v>
      </c>
      <c r="L2032" s="1" t="s">
        <v>3372</v>
      </c>
      <c r="M2032" s="1"/>
      <c r="N2032" s="1"/>
      <c r="O2032" s="1"/>
      <c r="P2032" s="6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 customFormat="false" ht="21.75" hidden="false" customHeight="true" outlineLevel="0" collapsed="false">
      <c r="A2033" s="4" t="n">
        <v>43494</v>
      </c>
      <c r="B2033" s="53" t="s">
        <v>166</v>
      </c>
      <c r="C2033" s="46" t="s">
        <v>15</v>
      </c>
      <c r="D2033" s="46" t="s">
        <v>16</v>
      </c>
      <c r="E2033" s="46" t="s">
        <v>17</v>
      </c>
      <c r="F2033" s="50" t="s">
        <v>4826</v>
      </c>
      <c r="G2033" s="51" t="n">
        <v>939312585</v>
      </c>
      <c r="H2033" s="52" t="s">
        <v>4827</v>
      </c>
      <c r="I2033" s="52"/>
      <c r="J2033" s="1"/>
      <c r="K2033" s="1" t="s">
        <v>21</v>
      </c>
      <c r="L2033" s="1" t="s">
        <v>3372</v>
      </c>
      <c r="M2033" s="1"/>
      <c r="N2033" s="1"/>
      <c r="O2033" s="1"/>
      <c r="P2033" s="6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 customFormat="false" ht="21.75" hidden="false" customHeight="true" outlineLevel="0" collapsed="false">
      <c r="A2034" s="4" t="n">
        <v>43494</v>
      </c>
      <c r="B2034" s="53" t="s">
        <v>81</v>
      </c>
      <c r="C2034" s="46" t="s">
        <v>15</v>
      </c>
      <c r="D2034" s="46" t="s">
        <v>43</v>
      </c>
      <c r="E2034" s="46" t="s">
        <v>44</v>
      </c>
      <c r="F2034" s="50" t="s">
        <v>4828</v>
      </c>
      <c r="G2034" s="51" t="n">
        <v>985184163</v>
      </c>
      <c r="H2034" s="52" t="s">
        <v>4829</v>
      </c>
      <c r="I2034" s="52"/>
      <c r="J2034" s="1"/>
      <c r="K2034" s="1" t="s">
        <v>1594</v>
      </c>
      <c r="L2034" s="1"/>
      <c r="M2034" s="1"/>
      <c r="N2034" s="1"/>
      <c r="O2034" s="1"/>
      <c r="P2034" s="6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 customFormat="false" ht="21.75" hidden="false" customHeight="true" outlineLevel="0" collapsed="false">
      <c r="A2035" s="4" t="n">
        <v>43494</v>
      </c>
      <c r="B2035" s="53" t="s">
        <v>1114</v>
      </c>
      <c r="C2035" s="46" t="s">
        <v>15</v>
      </c>
      <c r="D2035" s="46" t="s">
        <v>43</v>
      </c>
      <c r="E2035" s="46" t="s">
        <v>109</v>
      </c>
      <c r="F2035" s="50" t="s">
        <v>4830</v>
      </c>
      <c r="G2035" s="51" t="n">
        <v>939404379</v>
      </c>
      <c r="H2035" s="54" t="s">
        <v>4831</v>
      </c>
      <c r="I2035" s="54"/>
      <c r="J2035" s="1"/>
      <c r="K2035" s="1" t="s">
        <v>4832</v>
      </c>
      <c r="L2035" s="1"/>
      <c r="M2035" s="1"/>
      <c r="N2035" s="1"/>
      <c r="O2035" s="1"/>
      <c r="P2035" s="6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 customFormat="false" ht="21.75" hidden="false" customHeight="true" outlineLevel="0" collapsed="false">
      <c r="A2036" s="4" t="n">
        <v>43494</v>
      </c>
      <c r="B2036" s="53" t="s">
        <v>178</v>
      </c>
      <c r="C2036" s="46" t="s">
        <v>15</v>
      </c>
      <c r="D2036" s="46" t="s">
        <v>43</v>
      </c>
      <c r="E2036" s="46" t="s">
        <v>109</v>
      </c>
      <c r="F2036" s="50" t="s">
        <v>4833</v>
      </c>
      <c r="G2036" s="51" t="n">
        <v>958913062</v>
      </c>
      <c r="H2036" s="52" t="s">
        <v>4834</v>
      </c>
      <c r="I2036" s="52"/>
      <c r="J2036" s="1"/>
      <c r="K2036" s="1" t="s">
        <v>4835</v>
      </c>
      <c r="L2036" s="1"/>
      <c r="M2036" s="1"/>
      <c r="N2036" s="1"/>
      <c r="O2036" s="1"/>
      <c r="P2036" s="6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 customFormat="false" ht="21.75" hidden="false" customHeight="true" outlineLevel="0" collapsed="false">
      <c r="A2037" s="4" t="n">
        <v>43494</v>
      </c>
      <c r="B2037" s="53" t="s">
        <v>48</v>
      </c>
      <c r="C2037" s="46" t="s">
        <v>15</v>
      </c>
      <c r="D2037" s="46" t="s">
        <v>43</v>
      </c>
      <c r="E2037" s="46" t="s">
        <v>109</v>
      </c>
      <c r="F2037" s="50" t="s">
        <v>4836</v>
      </c>
      <c r="G2037" s="51" t="n">
        <v>967342622</v>
      </c>
      <c r="H2037" s="52" t="s">
        <v>4837</v>
      </c>
      <c r="I2037" s="52"/>
      <c r="J2037" s="1"/>
      <c r="K2037" s="1" t="s">
        <v>4838</v>
      </c>
      <c r="L2037" s="1"/>
      <c r="M2037" s="1"/>
      <c r="N2037" s="1"/>
      <c r="O2037" s="1"/>
      <c r="P2037" s="6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 customFormat="false" ht="21.75" hidden="false" customHeight="true" outlineLevel="0" collapsed="false">
      <c r="A2038" s="4" t="n">
        <v>43494</v>
      </c>
      <c r="B2038" s="53" t="s">
        <v>178</v>
      </c>
      <c r="C2038" s="46" t="s">
        <v>15</v>
      </c>
      <c r="D2038" s="46" t="s">
        <v>43</v>
      </c>
      <c r="E2038" s="46" t="s">
        <v>109</v>
      </c>
      <c r="F2038" s="50" t="s">
        <v>4816</v>
      </c>
      <c r="G2038" s="51" t="n">
        <v>980950904</v>
      </c>
      <c r="H2038" s="52" t="s">
        <v>4817</v>
      </c>
      <c r="I2038" s="52"/>
      <c r="J2038" s="1"/>
      <c r="K2038" s="1" t="s">
        <v>21</v>
      </c>
      <c r="L2038" s="1"/>
      <c r="M2038" s="1"/>
      <c r="N2038" s="1"/>
      <c r="O2038" s="1"/>
      <c r="P2038" s="6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 customFormat="false" ht="21.75" hidden="false" customHeight="true" outlineLevel="0" collapsed="false">
      <c r="A2039" s="4" t="n">
        <v>43494</v>
      </c>
      <c r="B2039" s="53" t="s">
        <v>48</v>
      </c>
      <c r="C2039" s="46" t="s">
        <v>15</v>
      </c>
      <c r="D2039" s="46" t="s">
        <v>43</v>
      </c>
      <c r="E2039" s="46" t="s">
        <v>109</v>
      </c>
      <c r="F2039" s="50" t="s">
        <v>4839</v>
      </c>
      <c r="G2039" s="51" t="n">
        <v>968578404</v>
      </c>
      <c r="H2039" s="53"/>
      <c r="I2039" s="53"/>
      <c r="J2039" s="1"/>
      <c r="K2039" s="1" t="s">
        <v>21</v>
      </c>
      <c r="L2039" s="1"/>
      <c r="M2039" s="1"/>
      <c r="N2039" s="1"/>
      <c r="O2039" s="1"/>
      <c r="P2039" s="6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 customFormat="false" ht="21.75" hidden="false" customHeight="true" outlineLevel="0" collapsed="false">
      <c r="A2040" s="4" t="n">
        <v>43494</v>
      </c>
      <c r="B2040" s="53" t="s">
        <v>178</v>
      </c>
      <c r="C2040" s="46" t="s">
        <v>15</v>
      </c>
      <c r="D2040" s="46" t="s">
        <v>43</v>
      </c>
      <c r="E2040" s="46" t="s">
        <v>883</v>
      </c>
      <c r="F2040" s="59" t="s">
        <v>4840</v>
      </c>
      <c r="G2040" s="51" t="n">
        <v>998421230</v>
      </c>
      <c r="H2040" s="54" t="s">
        <v>4841</v>
      </c>
      <c r="I2040" s="54"/>
      <c r="J2040" s="1"/>
      <c r="K2040" s="1" t="s">
        <v>4842</v>
      </c>
      <c r="L2040" s="1"/>
      <c r="M2040" s="1"/>
      <c r="N2040" s="1"/>
      <c r="O2040" s="1"/>
      <c r="P2040" s="6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 customFormat="false" ht="21.75" hidden="false" customHeight="true" outlineLevel="0" collapsed="false">
      <c r="A2041" s="4" t="n">
        <v>43494</v>
      </c>
      <c r="B2041" s="53" t="s">
        <v>1106</v>
      </c>
      <c r="C2041" s="46" t="s">
        <v>15</v>
      </c>
      <c r="D2041" s="46" t="s">
        <v>43</v>
      </c>
      <c r="E2041" s="46" t="s">
        <v>109</v>
      </c>
      <c r="F2041" s="50" t="s">
        <v>4843</v>
      </c>
      <c r="G2041" s="51" t="n">
        <v>993777307</v>
      </c>
      <c r="H2041" s="52" t="s">
        <v>4844</v>
      </c>
      <c r="I2041" s="52"/>
      <c r="J2041" s="1"/>
      <c r="K2041" s="1" t="s">
        <v>21</v>
      </c>
      <c r="L2041" s="1"/>
      <c r="M2041" s="1"/>
      <c r="N2041" s="1"/>
      <c r="O2041" s="1"/>
      <c r="P2041" s="6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 customFormat="false" ht="21.75" hidden="false" customHeight="true" outlineLevel="0" collapsed="false">
      <c r="A2042" s="4" t="n">
        <v>43494</v>
      </c>
      <c r="B2042" s="53" t="s">
        <v>48</v>
      </c>
      <c r="C2042" s="46" t="s">
        <v>15</v>
      </c>
      <c r="D2042" s="46" t="s">
        <v>43</v>
      </c>
      <c r="E2042" s="46" t="s">
        <v>109</v>
      </c>
      <c r="F2042" s="50" t="s">
        <v>4845</v>
      </c>
      <c r="G2042" s="51" t="n">
        <v>959017249</v>
      </c>
      <c r="H2042" s="52" t="s">
        <v>4846</v>
      </c>
      <c r="I2042" s="52"/>
      <c r="J2042" s="1"/>
      <c r="K2042" s="1" t="s">
        <v>21</v>
      </c>
      <c r="L2042" s="1"/>
      <c r="M2042" s="1"/>
      <c r="N2042" s="1"/>
      <c r="O2042" s="1"/>
      <c r="P2042" s="6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 customFormat="false" ht="21.75" hidden="false" customHeight="true" outlineLevel="0" collapsed="false">
      <c r="A2043" s="4" t="n">
        <v>43494</v>
      </c>
      <c r="B2043" s="53" t="s">
        <v>14</v>
      </c>
      <c r="C2043" s="46" t="s">
        <v>15</v>
      </c>
      <c r="D2043" s="46" t="s">
        <v>16</v>
      </c>
      <c r="E2043" s="46" t="s">
        <v>17</v>
      </c>
      <c r="F2043" s="50" t="s">
        <v>4847</v>
      </c>
      <c r="G2043" s="52" t="s">
        <v>4848</v>
      </c>
      <c r="H2043" s="52" t="s">
        <v>4849</v>
      </c>
      <c r="I2043" s="52"/>
      <c r="J2043" s="1"/>
      <c r="K2043" s="1" t="s">
        <v>21</v>
      </c>
      <c r="L2043" s="1" t="s">
        <v>4850</v>
      </c>
      <c r="M2043" s="1"/>
      <c r="N2043" s="1"/>
      <c r="O2043" s="1"/>
      <c r="P2043" s="6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 customFormat="false" ht="21.75" hidden="false" customHeight="true" outlineLevel="0" collapsed="false">
      <c r="A2044" s="4" t="n">
        <v>43495</v>
      </c>
      <c r="B2044" s="46" t="s">
        <v>48</v>
      </c>
      <c r="C2044" s="46" t="s">
        <v>26</v>
      </c>
      <c r="D2044" s="46" t="s">
        <v>43</v>
      </c>
      <c r="E2044" s="46" t="s">
        <v>883</v>
      </c>
      <c r="F2044" s="46" t="s">
        <v>4851</v>
      </c>
      <c r="G2044" s="46" t="n">
        <f aca="false">+5930993566112</f>
        <v>5930993566112</v>
      </c>
      <c r="H2044" s="46" t="s">
        <v>4852</v>
      </c>
      <c r="I2044" s="46"/>
      <c r="J2044" s="1"/>
      <c r="K2044" s="1" t="s">
        <v>1365</v>
      </c>
      <c r="L2044" s="1"/>
      <c r="M2044" s="1"/>
      <c r="N2044" s="1"/>
      <c r="O2044" s="1"/>
      <c r="P2044" s="6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 customFormat="false" ht="21.75" hidden="false" customHeight="true" outlineLevel="0" collapsed="false">
      <c r="A2045" s="4" t="n">
        <v>43495</v>
      </c>
      <c r="B2045" s="46" t="s">
        <v>127</v>
      </c>
      <c r="C2045" s="46" t="s">
        <v>15</v>
      </c>
      <c r="D2045" s="46" t="s">
        <v>43</v>
      </c>
      <c r="E2045" s="46" t="s">
        <v>883</v>
      </c>
      <c r="F2045" s="46" t="s">
        <v>4853</v>
      </c>
      <c r="G2045" s="46" t="n">
        <f aca="false">+593989033082</f>
        <v>593989033082</v>
      </c>
      <c r="H2045" s="46" t="s">
        <v>4854</v>
      </c>
      <c r="I2045" s="46"/>
      <c r="J2045" s="1"/>
      <c r="K2045" s="1" t="s">
        <v>21</v>
      </c>
      <c r="L2045" s="1"/>
      <c r="M2045" s="1"/>
      <c r="N2045" s="1"/>
      <c r="O2045" s="1"/>
      <c r="P2045" s="6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 customFormat="false" ht="21.75" hidden="false" customHeight="true" outlineLevel="0" collapsed="false">
      <c r="A2046" s="4" t="n">
        <v>43495</v>
      </c>
      <c r="B2046" s="46" t="s">
        <v>1114</v>
      </c>
      <c r="C2046" s="46" t="s">
        <v>15</v>
      </c>
      <c r="D2046" s="46" t="s">
        <v>43</v>
      </c>
      <c r="E2046" s="46" t="s">
        <v>883</v>
      </c>
      <c r="F2046" s="46" t="s">
        <v>4855</v>
      </c>
      <c r="G2046" s="46" t="n">
        <f aca="false">+5930995974257</f>
        <v>5930995974257</v>
      </c>
      <c r="H2046" s="46" t="s">
        <v>4856</v>
      </c>
      <c r="I2046" s="46"/>
      <c r="J2046" s="1"/>
      <c r="K2046" s="1" t="s">
        <v>316</v>
      </c>
      <c r="L2046" s="1"/>
      <c r="M2046" s="1"/>
      <c r="N2046" s="1"/>
      <c r="O2046" s="1"/>
      <c r="P2046" s="6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 customFormat="false" ht="21.75" hidden="false" customHeight="true" outlineLevel="0" collapsed="false">
      <c r="A2047" s="4" t="n">
        <v>43495</v>
      </c>
      <c r="B2047" s="46" t="s">
        <v>48</v>
      </c>
      <c r="C2047" s="46" t="s">
        <v>15</v>
      </c>
      <c r="D2047" s="46" t="s">
        <v>43</v>
      </c>
      <c r="E2047" s="46" t="s">
        <v>883</v>
      </c>
      <c r="F2047" s="46" t="s">
        <v>4857</v>
      </c>
      <c r="G2047" s="46" t="n">
        <f aca="false">+593979967327</f>
        <v>593979967327</v>
      </c>
      <c r="H2047" s="46" t="s">
        <v>4858</v>
      </c>
      <c r="I2047" s="46"/>
      <c r="J2047" s="1"/>
      <c r="K2047" s="1" t="s">
        <v>1065</v>
      </c>
      <c r="L2047" s="1"/>
      <c r="M2047" s="1"/>
      <c r="N2047" s="1"/>
      <c r="O2047" s="1"/>
      <c r="P2047" s="6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 customFormat="false" ht="21.75" hidden="false" customHeight="true" outlineLevel="0" collapsed="false">
      <c r="A2048" s="4" t="n">
        <v>43495</v>
      </c>
      <c r="B2048" s="46" t="s">
        <v>1114</v>
      </c>
      <c r="C2048" s="46" t="s">
        <v>15</v>
      </c>
      <c r="D2048" s="46" t="s">
        <v>43</v>
      </c>
      <c r="E2048" s="46" t="s">
        <v>883</v>
      </c>
      <c r="F2048" s="46" t="s">
        <v>4859</v>
      </c>
      <c r="G2048" s="46" t="n">
        <f aca="false">+593987627880</f>
        <v>593987627880</v>
      </c>
      <c r="H2048" s="46" t="s">
        <v>4860</v>
      </c>
      <c r="I2048" s="46"/>
      <c r="J2048" s="1"/>
      <c r="K2048" s="1" t="s">
        <v>21</v>
      </c>
      <c r="L2048" s="1"/>
      <c r="M2048" s="1"/>
      <c r="N2048" s="1"/>
      <c r="O2048" s="1"/>
      <c r="P2048" s="6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 customFormat="false" ht="21.75" hidden="false" customHeight="true" outlineLevel="0" collapsed="false">
      <c r="A2049" s="4" t="n">
        <v>43495</v>
      </c>
      <c r="B2049" s="46" t="s">
        <v>48</v>
      </c>
      <c r="C2049" s="46" t="s">
        <v>26</v>
      </c>
      <c r="D2049" s="46" t="s">
        <v>43</v>
      </c>
      <c r="E2049" s="46" t="s">
        <v>883</v>
      </c>
      <c r="F2049" s="46" t="s">
        <v>4861</v>
      </c>
      <c r="G2049" s="46" t="n">
        <f aca="false">+593991798961</f>
        <v>593991798961</v>
      </c>
      <c r="H2049" s="46" t="s">
        <v>4862</v>
      </c>
      <c r="I2049" s="46"/>
      <c r="J2049" s="1"/>
      <c r="K2049" s="1" t="s">
        <v>4863</v>
      </c>
      <c r="L2049" s="1"/>
      <c r="M2049" s="1"/>
      <c r="N2049" s="1"/>
      <c r="O2049" s="1"/>
      <c r="P2049" s="6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 customFormat="false" ht="21.75" hidden="false" customHeight="true" outlineLevel="0" collapsed="false">
      <c r="A2050" s="4" t="n">
        <v>43495</v>
      </c>
      <c r="B2050" s="46" t="s">
        <v>127</v>
      </c>
      <c r="C2050" s="46" t="s">
        <v>15</v>
      </c>
      <c r="D2050" s="46" t="s">
        <v>43</v>
      </c>
      <c r="E2050" s="46" t="s">
        <v>883</v>
      </c>
      <c r="F2050" s="46" t="s">
        <v>4864</v>
      </c>
      <c r="G2050" s="46" t="n">
        <f aca="false">+593999165513</f>
        <v>593999165513</v>
      </c>
      <c r="H2050" s="46" t="s">
        <v>4865</v>
      </c>
      <c r="I2050" s="46"/>
      <c r="J2050" s="1"/>
      <c r="K2050" s="1" t="s">
        <v>21</v>
      </c>
      <c r="L2050" s="1"/>
      <c r="M2050" s="1"/>
      <c r="N2050" s="1"/>
      <c r="O2050" s="1"/>
      <c r="P2050" s="6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 customFormat="false" ht="21.75" hidden="false" customHeight="true" outlineLevel="0" collapsed="false">
      <c r="A2051" s="4" t="n">
        <v>43495</v>
      </c>
      <c r="B2051" s="46" t="s">
        <v>1114</v>
      </c>
      <c r="C2051" s="46" t="s">
        <v>15</v>
      </c>
      <c r="D2051" s="46" t="s">
        <v>43</v>
      </c>
      <c r="E2051" s="46" t="s">
        <v>883</v>
      </c>
      <c r="F2051" s="46" t="s">
        <v>4866</v>
      </c>
      <c r="G2051" s="46" t="n">
        <f aca="false">+5930987833563</f>
        <v>5930987833563</v>
      </c>
      <c r="H2051" s="46" t="s">
        <v>4867</v>
      </c>
      <c r="I2051" s="46"/>
      <c r="J2051" s="1"/>
      <c r="K2051" s="1" t="s">
        <v>21</v>
      </c>
      <c r="L2051" s="1"/>
      <c r="M2051" s="1"/>
      <c r="N2051" s="1"/>
      <c r="O2051" s="1"/>
      <c r="P2051" s="6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 customFormat="false" ht="21.75" hidden="false" customHeight="true" outlineLevel="0" collapsed="false">
      <c r="A2052" s="4" t="n">
        <v>43495</v>
      </c>
      <c r="B2052" s="46" t="s">
        <v>352</v>
      </c>
      <c r="C2052" s="46" t="s">
        <v>15</v>
      </c>
      <c r="D2052" s="46" t="s">
        <v>43</v>
      </c>
      <c r="E2052" s="46" t="s">
        <v>883</v>
      </c>
      <c r="F2052" s="46" t="s">
        <v>4868</v>
      </c>
      <c r="G2052" s="46" t="n">
        <f aca="false">+593939244859</f>
        <v>593939244859</v>
      </c>
      <c r="H2052" s="46" t="s">
        <v>4869</v>
      </c>
      <c r="I2052" s="46"/>
      <c r="J2052" s="1"/>
      <c r="K2052" s="1" t="s">
        <v>4870</v>
      </c>
      <c r="L2052" s="1"/>
      <c r="M2052" s="1"/>
      <c r="N2052" s="1"/>
      <c r="O2052" s="1"/>
      <c r="P2052" s="6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 customFormat="false" ht="21.75" hidden="false" customHeight="true" outlineLevel="0" collapsed="false">
      <c r="A2053" s="4" t="n">
        <v>43495</v>
      </c>
      <c r="B2053" s="46" t="s">
        <v>48</v>
      </c>
      <c r="C2053" s="46" t="s">
        <v>15</v>
      </c>
      <c r="D2053" s="46" t="s">
        <v>43</v>
      </c>
      <c r="E2053" s="46" t="s">
        <v>883</v>
      </c>
      <c r="F2053" s="46" t="s">
        <v>4871</v>
      </c>
      <c r="G2053" s="46" t="n">
        <f aca="false">+593979893980</f>
        <v>593979893980</v>
      </c>
      <c r="H2053" s="46" t="s">
        <v>4872</v>
      </c>
      <c r="I2053" s="46"/>
      <c r="J2053" s="1"/>
      <c r="K2053" s="1" t="s">
        <v>165</v>
      </c>
      <c r="L2053" s="1"/>
      <c r="M2053" s="1"/>
      <c r="N2053" s="1"/>
      <c r="O2053" s="1"/>
      <c r="P2053" s="6" t="s">
        <v>3289</v>
      </c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 customFormat="false" ht="21.75" hidden="false" customHeight="true" outlineLevel="0" collapsed="false">
      <c r="A2054" s="4" t="n">
        <v>43495</v>
      </c>
      <c r="B2054" s="46" t="s">
        <v>1114</v>
      </c>
      <c r="C2054" s="46" t="s">
        <v>15</v>
      </c>
      <c r="D2054" s="46" t="s">
        <v>43</v>
      </c>
      <c r="E2054" s="46" t="s">
        <v>883</v>
      </c>
      <c r="F2054" s="46" t="s">
        <v>4873</v>
      </c>
      <c r="G2054" s="46" t="n">
        <f aca="false">+593995081077</f>
        <v>593995081077</v>
      </c>
      <c r="H2054" s="46" t="s">
        <v>4874</v>
      </c>
      <c r="I2054" s="46"/>
      <c r="J2054" s="1"/>
      <c r="K2054" s="1" t="s">
        <v>21</v>
      </c>
      <c r="L2054" s="1"/>
      <c r="M2054" s="1"/>
      <c r="N2054" s="1"/>
      <c r="O2054" s="1"/>
      <c r="P2054" s="6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 customFormat="false" ht="21.75" hidden="false" customHeight="true" outlineLevel="0" collapsed="false">
      <c r="A2055" s="4" t="n">
        <v>43495</v>
      </c>
      <c r="B2055" s="46" t="s">
        <v>415</v>
      </c>
      <c r="C2055" s="46" t="s">
        <v>15</v>
      </c>
      <c r="D2055" s="46" t="s">
        <v>43</v>
      </c>
      <c r="E2055" s="46" t="s">
        <v>883</v>
      </c>
      <c r="F2055" s="46" t="s">
        <v>4875</v>
      </c>
      <c r="G2055" s="46" t="n">
        <f aca="false">+5930978762162</f>
        <v>5930978762162</v>
      </c>
      <c r="H2055" s="46" t="s">
        <v>4876</v>
      </c>
      <c r="I2055" s="46"/>
      <c r="J2055" s="1"/>
      <c r="K2055" s="1" t="s">
        <v>165</v>
      </c>
      <c r="L2055" s="1"/>
      <c r="M2055" s="1"/>
      <c r="N2055" s="1"/>
      <c r="O2055" s="1"/>
      <c r="P2055" s="6" t="s">
        <v>3289</v>
      </c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 customFormat="false" ht="21.75" hidden="false" customHeight="true" outlineLevel="0" collapsed="false">
      <c r="A2056" s="4" t="n">
        <v>43495</v>
      </c>
      <c r="B2056" s="46" t="s">
        <v>1114</v>
      </c>
      <c r="C2056" s="46" t="s">
        <v>15</v>
      </c>
      <c r="D2056" s="46" t="s">
        <v>43</v>
      </c>
      <c r="E2056" s="46" t="s">
        <v>883</v>
      </c>
      <c r="F2056" s="46" t="s">
        <v>1607</v>
      </c>
      <c r="G2056" s="46" t="n">
        <f aca="false">+593995021936</f>
        <v>593995021936</v>
      </c>
      <c r="H2056" s="46" t="s">
        <v>4877</v>
      </c>
      <c r="I2056" s="46"/>
      <c r="J2056" s="1"/>
      <c r="K2056" s="1" t="s">
        <v>21</v>
      </c>
      <c r="L2056" s="1"/>
      <c r="M2056" s="1"/>
      <c r="N2056" s="1"/>
      <c r="O2056" s="1"/>
      <c r="P2056" s="6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 customFormat="false" ht="21.75" hidden="false" customHeight="true" outlineLevel="0" collapsed="false">
      <c r="A2057" s="4" t="n">
        <v>43495</v>
      </c>
      <c r="B2057" s="46" t="s">
        <v>415</v>
      </c>
      <c r="C2057" s="46" t="s">
        <v>15</v>
      </c>
      <c r="D2057" s="46" t="s">
        <v>43</v>
      </c>
      <c r="E2057" s="46" t="s">
        <v>883</v>
      </c>
      <c r="F2057" s="46" t="s">
        <v>4878</v>
      </c>
      <c r="G2057" s="46" t="n">
        <f aca="false">+593988045920</f>
        <v>593988045920</v>
      </c>
      <c r="H2057" s="46" t="s">
        <v>4879</v>
      </c>
      <c r="I2057" s="46"/>
      <c r="J2057" s="1"/>
      <c r="K2057" s="1" t="s">
        <v>21</v>
      </c>
      <c r="L2057" s="1"/>
      <c r="M2057" s="1"/>
      <c r="N2057" s="1"/>
      <c r="O2057" s="1"/>
      <c r="P2057" s="6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 customFormat="false" ht="21.75" hidden="false" customHeight="true" outlineLevel="0" collapsed="false">
      <c r="A2058" s="4" t="n">
        <v>43495</v>
      </c>
      <c r="B2058" s="46" t="s">
        <v>1478</v>
      </c>
      <c r="C2058" s="46" t="s">
        <v>15</v>
      </c>
      <c r="D2058" s="46" t="s">
        <v>43</v>
      </c>
      <c r="E2058" s="46" t="s">
        <v>109</v>
      </c>
      <c r="F2058" s="46" t="s">
        <v>4880</v>
      </c>
      <c r="G2058" s="46" t="n">
        <f aca="false">+593979883471</f>
        <v>593979883471</v>
      </c>
      <c r="H2058" s="46" t="s">
        <v>4881</v>
      </c>
      <c r="I2058" s="46"/>
      <c r="J2058" s="1"/>
      <c r="K2058" s="1" t="s">
        <v>4882</v>
      </c>
      <c r="L2058" s="1"/>
      <c r="M2058" s="1"/>
      <c r="N2058" s="1"/>
      <c r="O2058" s="1"/>
      <c r="P2058" s="6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 customFormat="false" ht="21.75" hidden="false" customHeight="true" outlineLevel="0" collapsed="false">
      <c r="A2059" s="4" t="n">
        <v>43495</v>
      </c>
      <c r="B2059" s="46" t="s">
        <v>323</v>
      </c>
      <c r="C2059" s="46" t="s">
        <v>15</v>
      </c>
      <c r="D2059" s="46" t="s">
        <v>43</v>
      </c>
      <c r="E2059" s="46" t="s">
        <v>109</v>
      </c>
      <c r="F2059" s="46" t="s">
        <v>4883</v>
      </c>
      <c r="G2059" s="46" t="n">
        <f aca="false">+5930990977259</f>
        <v>5930990977259</v>
      </c>
      <c r="H2059" s="46" t="s">
        <v>4884</v>
      </c>
      <c r="I2059" s="46"/>
      <c r="J2059" s="1"/>
      <c r="K2059" s="1" t="s">
        <v>21</v>
      </c>
      <c r="L2059" s="1"/>
      <c r="M2059" s="1"/>
      <c r="N2059" s="1"/>
      <c r="O2059" s="1"/>
      <c r="P2059" s="6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 customFormat="false" ht="21.75" hidden="false" customHeight="true" outlineLevel="0" collapsed="false">
      <c r="A2060" s="4" t="n">
        <v>43495</v>
      </c>
      <c r="B2060" s="46" t="s">
        <v>352</v>
      </c>
      <c r="C2060" s="46" t="s">
        <v>15</v>
      </c>
      <c r="D2060" s="46" t="s">
        <v>43</v>
      </c>
      <c r="E2060" s="46" t="s">
        <v>109</v>
      </c>
      <c r="F2060" s="46" t="s">
        <v>4885</v>
      </c>
      <c r="G2060" s="46" t="n">
        <f aca="false">+593991159549</f>
        <v>593991159549</v>
      </c>
      <c r="H2060" s="46" t="s">
        <v>4886</v>
      </c>
      <c r="I2060" s="46"/>
      <c r="J2060" s="1"/>
      <c r="K2060" s="1" t="s">
        <v>21</v>
      </c>
      <c r="L2060" s="1"/>
      <c r="M2060" s="1"/>
      <c r="N2060" s="1"/>
      <c r="O2060" s="1"/>
      <c r="P2060" s="6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 customFormat="false" ht="21.75" hidden="false" customHeight="true" outlineLevel="0" collapsed="false">
      <c r="A2061" s="4" t="n">
        <v>43495</v>
      </c>
      <c r="B2061" s="46" t="s">
        <v>48</v>
      </c>
      <c r="C2061" s="46" t="s">
        <v>15</v>
      </c>
      <c r="D2061" s="46" t="s">
        <v>43</v>
      </c>
      <c r="E2061" s="46" t="s">
        <v>109</v>
      </c>
      <c r="F2061" s="46" t="s">
        <v>4887</v>
      </c>
      <c r="G2061" s="46" t="n">
        <f aca="false">+593985685043</f>
        <v>593985685043</v>
      </c>
      <c r="H2061" s="46" t="s">
        <v>4888</v>
      </c>
      <c r="I2061" s="46"/>
      <c r="J2061" s="1"/>
      <c r="K2061" s="1" t="s">
        <v>21</v>
      </c>
      <c r="L2061" s="1"/>
      <c r="M2061" s="1"/>
      <c r="N2061" s="1"/>
      <c r="O2061" s="1"/>
      <c r="P2061" s="6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 customFormat="false" ht="21.75" hidden="false" customHeight="true" outlineLevel="0" collapsed="false">
      <c r="A2062" s="4" t="n">
        <v>43495</v>
      </c>
      <c r="B2062" s="46" t="s">
        <v>42</v>
      </c>
      <c r="C2062" s="46" t="s">
        <v>26</v>
      </c>
      <c r="D2062" s="46" t="s">
        <v>43</v>
      </c>
      <c r="E2062" s="46" t="s">
        <v>109</v>
      </c>
      <c r="F2062" s="46" t="s">
        <v>4889</v>
      </c>
      <c r="G2062" s="46" t="n">
        <f aca="false">+593978765109</f>
        <v>593978765109</v>
      </c>
      <c r="H2062" s="46" t="s">
        <v>4890</v>
      </c>
      <c r="I2062" s="46"/>
      <c r="J2062" s="1"/>
      <c r="K2062" s="1" t="s">
        <v>21</v>
      </c>
      <c r="L2062" s="1"/>
      <c r="M2062" s="1"/>
      <c r="N2062" s="1"/>
      <c r="O2062" s="1"/>
      <c r="P2062" s="6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 customFormat="false" ht="21.75" hidden="false" customHeight="true" outlineLevel="0" collapsed="false">
      <c r="A2063" s="4" t="n">
        <v>43495</v>
      </c>
      <c r="B2063" s="46" t="s">
        <v>81</v>
      </c>
      <c r="C2063" s="46" t="s">
        <v>15</v>
      </c>
      <c r="D2063" s="46" t="s">
        <v>43</v>
      </c>
      <c r="E2063" s="46" t="s">
        <v>109</v>
      </c>
      <c r="F2063" s="46" t="s">
        <v>4891</v>
      </c>
      <c r="G2063" s="46" t="n">
        <f aca="false">+593967518819</f>
        <v>593967518819</v>
      </c>
      <c r="H2063" s="46" t="s">
        <v>4892</v>
      </c>
      <c r="I2063" s="46"/>
      <c r="J2063" s="1"/>
      <c r="K2063" s="1" t="s">
        <v>21</v>
      </c>
      <c r="L2063" s="1"/>
      <c r="M2063" s="1"/>
      <c r="N2063" s="1"/>
      <c r="O2063" s="1"/>
      <c r="P2063" s="6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 customFormat="false" ht="21.75" hidden="false" customHeight="true" outlineLevel="0" collapsed="false">
      <c r="A2064" s="4" t="n">
        <v>43495</v>
      </c>
      <c r="B2064" s="46" t="s">
        <v>48</v>
      </c>
      <c r="C2064" s="46" t="s">
        <v>15</v>
      </c>
      <c r="D2064" s="46" t="s">
        <v>43</v>
      </c>
      <c r="E2064" s="46" t="s">
        <v>109</v>
      </c>
      <c r="F2064" s="46" t="s">
        <v>4893</v>
      </c>
      <c r="G2064" s="46" t="n">
        <f aca="false">+593967058906</f>
        <v>593967058906</v>
      </c>
      <c r="H2064" s="46" t="s">
        <v>4894</v>
      </c>
      <c r="I2064" s="46"/>
      <c r="J2064" s="1"/>
      <c r="K2064" s="1" t="s">
        <v>21</v>
      </c>
      <c r="L2064" s="1"/>
      <c r="M2064" s="1"/>
      <c r="N2064" s="1"/>
      <c r="O2064" s="1"/>
      <c r="P2064" s="6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 customFormat="false" ht="21.75" hidden="false" customHeight="true" outlineLevel="0" collapsed="false">
      <c r="A2065" s="4" t="n">
        <v>43495</v>
      </c>
      <c r="B2065" s="46" t="s">
        <v>48</v>
      </c>
      <c r="C2065" s="46" t="s">
        <v>15</v>
      </c>
      <c r="D2065" s="46" t="s">
        <v>43</v>
      </c>
      <c r="E2065" s="46" t="s">
        <v>109</v>
      </c>
      <c r="F2065" s="46" t="s">
        <v>4895</v>
      </c>
      <c r="G2065" s="46" t="n">
        <f aca="false">+5930969848783</f>
        <v>5930969848783</v>
      </c>
      <c r="H2065" s="46" t="s">
        <v>4896</v>
      </c>
      <c r="I2065" s="46"/>
      <c r="J2065" s="1"/>
      <c r="K2065" s="1" t="s">
        <v>1864</v>
      </c>
      <c r="L2065" s="1"/>
      <c r="M2065" s="1"/>
      <c r="N2065" s="1"/>
      <c r="O2065" s="1"/>
      <c r="P2065" s="6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 customFormat="false" ht="21.75" hidden="false" customHeight="true" outlineLevel="0" collapsed="false">
      <c r="A2066" s="4" t="n">
        <v>43495</v>
      </c>
      <c r="B2066" s="46" t="s">
        <v>48</v>
      </c>
      <c r="C2066" s="46" t="s">
        <v>15</v>
      </c>
      <c r="D2066" s="46" t="s">
        <v>43</v>
      </c>
      <c r="E2066" s="46" t="s">
        <v>109</v>
      </c>
      <c r="F2066" s="46" t="s">
        <v>4897</v>
      </c>
      <c r="G2066" s="46" t="n">
        <f aca="false">+5930994528525</f>
        <v>5930994528525</v>
      </c>
      <c r="H2066" s="46" t="s">
        <v>4898</v>
      </c>
      <c r="I2066" s="46"/>
      <c r="J2066" s="1"/>
      <c r="K2066" s="1" t="s">
        <v>21</v>
      </c>
      <c r="L2066" s="1"/>
      <c r="M2066" s="1"/>
      <c r="N2066" s="1"/>
      <c r="O2066" s="1"/>
      <c r="P2066" s="6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 customFormat="false" ht="21.75" hidden="false" customHeight="true" outlineLevel="0" collapsed="false">
      <c r="A2067" s="4" t="n">
        <v>43495</v>
      </c>
      <c r="B2067" s="46" t="s">
        <v>48</v>
      </c>
      <c r="C2067" s="46" t="s">
        <v>15</v>
      </c>
      <c r="D2067" s="46" t="s">
        <v>43</v>
      </c>
      <c r="E2067" s="46" t="s">
        <v>109</v>
      </c>
      <c r="F2067" s="46" t="s">
        <v>4899</v>
      </c>
      <c r="G2067" s="46" t="n">
        <f aca="false">+5930996619512</f>
        <v>5930996619512</v>
      </c>
      <c r="H2067" s="46" t="s">
        <v>4900</v>
      </c>
      <c r="I2067" s="46"/>
      <c r="J2067" s="1"/>
      <c r="K2067" s="1" t="s">
        <v>4901</v>
      </c>
      <c r="L2067" s="1"/>
      <c r="M2067" s="1"/>
      <c r="N2067" s="1"/>
      <c r="O2067" s="1"/>
      <c r="P2067" s="6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 customFormat="false" ht="21.75" hidden="false" customHeight="true" outlineLevel="0" collapsed="false">
      <c r="A2068" s="4" t="n">
        <v>43495</v>
      </c>
      <c r="B2068" s="46" t="s">
        <v>48</v>
      </c>
      <c r="C2068" s="46" t="s">
        <v>15</v>
      </c>
      <c r="D2068" s="46" t="s">
        <v>43</v>
      </c>
      <c r="E2068" s="46" t="s">
        <v>109</v>
      </c>
      <c r="F2068" s="46" t="s">
        <v>4902</v>
      </c>
      <c r="G2068" s="46" t="n">
        <f aca="false">+593985484081</f>
        <v>593985484081</v>
      </c>
      <c r="H2068" s="46" t="s">
        <v>4903</v>
      </c>
      <c r="I2068" s="46"/>
      <c r="J2068" s="1"/>
      <c r="K2068" s="1" t="s">
        <v>3372</v>
      </c>
      <c r="L2068" s="1"/>
      <c r="M2068" s="1"/>
      <c r="N2068" s="1"/>
      <c r="O2068" s="1"/>
      <c r="P2068" s="6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 customFormat="false" ht="21.75" hidden="false" customHeight="true" outlineLevel="0" collapsed="false">
      <c r="A2069" s="4" t="n">
        <v>43495</v>
      </c>
      <c r="B2069" s="46" t="s">
        <v>48</v>
      </c>
      <c r="C2069" s="46" t="s">
        <v>15</v>
      </c>
      <c r="D2069" s="46" t="s">
        <v>43</v>
      </c>
      <c r="E2069" s="46" t="s">
        <v>109</v>
      </c>
      <c r="F2069" s="46" t="s">
        <v>4904</v>
      </c>
      <c r="G2069" s="46" t="n">
        <f aca="false">+593999574280</f>
        <v>593999574280</v>
      </c>
      <c r="H2069" s="46" t="s">
        <v>4905</v>
      </c>
      <c r="I2069" s="46"/>
      <c r="J2069" s="1"/>
      <c r="K2069" s="1" t="s">
        <v>4906</v>
      </c>
      <c r="L2069" s="1"/>
      <c r="M2069" s="1"/>
      <c r="N2069" s="1"/>
      <c r="O2069" s="1"/>
      <c r="P2069" s="6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 customFormat="false" ht="21.75" hidden="false" customHeight="true" outlineLevel="0" collapsed="false">
      <c r="A2070" s="4" t="n">
        <v>43495</v>
      </c>
      <c r="B2070" s="46" t="s">
        <v>1114</v>
      </c>
      <c r="C2070" s="46" t="s">
        <v>15</v>
      </c>
      <c r="D2070" s="46" t="s">
        <v>43</v>
      </c>
      <c r="E2070" s="46" t="s">
        <v>109</v>
      </c>
      <c r="F2070" s="46" t="s">
        <v>4907</v>
      </c>
      <c r="G2070" s="46" t="n">
        <f aca="false">+593982814841</f>
        <v>593982814841</v>
      </c>
      <c r="H2070" s="46" t="s">
        <v>4908</v>
      </c>
      <c r="I2070" s="46"/>
      <c r="J2070" s="1"/>
      <c r="K2070" s="1" t="s">
        <v>3372</v>
      </c>
      <c r="L2070" s="1"/>
      <c r="M2070" s="1"/>
      <c r="N2070" s="1"/>
      <c r="O2070" s="1"/>
      <c r="P2070" s="6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 customFormat="false" ht="21.75" hidden="false" customHeight="true" outlineLevel="0" collapsed="false">
      <c r="A2071" s="4" t="n">
        <v>43495</v>
      </c>
      <c r="B2071" s="46" t="s">
        <v>178</v>
      </c>
      <c r="C2071" s="46" t="s">
        <v>15</v>
      </c>
      <c r="D2071" s="46" t="s">
        <v>43</v>
      </c>
      <c r="E2071" s="46" t="s">
        <v>109</v>
      </c>
      <c r="F2071" s="46" t="s">
        <v>4909</v>
      </c>
      <c r="G2071" s="46" t="n">
        <f aca="false">+593994642117</f>
        <v>593994642117</v>
      </c>
      <c r="H2071" s="46" t="s">
        <v>4910</v>
      </c>
      <c r="I2071" s="46"/>
      <c r="J2071" s="1"/>
      <c r="K2071" s="1" t="s">
        <v>3372</v>
      </c>
      <c r="L2071" s="1"/>
      <c r="M2071" s="1"/>
      <c r="N2071" s="1"/>
      <c r="O2071" s="1"/>
      <c r="P2071" s="6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 customFormat="false" ht="21.75" hidden="false" customHeight="true" outlineLevel="0" collapsed="false">
      <c r="A2072" s="4" t="n">
        <v>43495</v>
      </c>
      <c r="B2072" s="46" t="s">
        <v>48</v>
      </c>
      <c r="C2072" s="46" t="s">
        <v>26</v>
      </c>
      <c r="D2072" s="46" t="s">
        <v>43</v>
      </c>
      <c r="E2072" s="46" t="s">
        <v>109</v>
      </c>
      <c r="F2072" s="46" t="s">
        <v>4911</v>
      </c>
      <c r="G2072" s="46" t="n">
        <f aca="false">+593983547436</f>
        <v>593983547436</v>
      </c>
      <c r="H2072" s="46" t="s">
        <v>4912</v>
      </c>
      <c r="I2072" s="46"/>
      <c r="J2072" s="1"/>
      <c r="K2072" s="1" t="s">
        <v>3372</v>
      </c>
      <c r="L2072" s="1"/>
      <c r="M2072" s="1"/>
      <c r="N2072" s="1"/>
      <c r="O2072" s="1"/>
      <c r="P2072" s="6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 customFormat="false" ht="21.75" hidden="false" customHeight="true" outlineLevel="0" collapsed="false">
      <c r="A2073" s="4" t="n">
        <v>43495</v>
      </c>
      <c r="B2073" s="46" t="s">
        <v>81</v>
      </c>
      <c r="C2073" s="46" t="s">
        <v>15</v>
      </c>
      <c r="D2073" s="46" t="s">
        <v>43</v>
      </c>
      <c r="E2073" s="46" t="s">
        <v>109</v>
      </c>
      <c r="F2073" s="46" t="s">
        <v>4913</v>
      </c>
      <c r="G2073" s="46" t="n">
        <f aca="false">+593987330016</f>
        <v>593987330016</v>
      </c>
      <c r="H2073" s="46" t="s">
        <v>4914</v>
      </c>
      <c r="I2073" s="46"/>
      <c r="J2073" s="1"/>
      <c r="K2073" s="1" t="s">
        <v>1166</v>
      </c>
      <c r="L2073" s="1"/>
      <c r="M2073" s="1"/>
      <c r="N2073" s="1"/>
      <c r="O2073" s="1"/>
      <c r="P2073" s="6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 customFormat="false" ht="21.75" hidden="false" customHeight="true" outlineLevel="0" collapsed="false">
      <c r="A2074" s="4" t="n">
        <v>43495</v>
      </c>
      <c r="B2074" s="46" t="s">
        <v>48</v>
      </c>
      <c r="C2074" s="46" t="s">
        <v>15</v>
      </c>
      <c r="D2074" s="46" t="s">
        <v>43</v>
      </c>
      <c r="E2074" s="46" t="s">
        <v>109</v>
      </c>
      <c r="F2074" s="46" t="s">
        <v>4915</v>
      </c>
      <c r="G2074" s="46" t="n">
        <f aca="false">+593969644512</f>
        <v>593969644512</v>
      </c>
      <c r="H2074" s="46" t="s">
        <v>4916</v>
      </c>
      <c r="I2074" s="46"/>
      <c r="J2074" s="1"/>
      <c r="K2074" s="1" t="s">
        <v>3372</v>
      </c>
      <c r="L2074" s="1"/>
      <c r="M2074" s="1"/>
      <c r="N2074" s="1"/>
      <c r="O2074" s="1"/>
      <c r="P2074" s="6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 customFormat="false" ht="21.75" hidden="false" customHeight="true" outlineLevel="0" collapsed="false">
      <c r="A2075" s="4" t="n">
        <v>43495</v>
      </c>
      <c r="B2075" s="46" t="s">
        <v>42</v>
      </c>
      <c r="C2075" s="46" t="s">
        <v>15</v>
      </c>
      <c r="D2075" s="46" t="s">
        <v>43</v>
      </c>
      <c r="E2075" s="46" t="s">
        <v>109</v>
      </c>
      <c r="F2075" s="46" t="s">
        <v>4917</v>
      </c>
      <c r="G2075" s="46" t="n">
        <f aca="false">+5930980539491</f>
        <v>5930980539491</v>
      </c>
      <c r="H2075" s="46" t="s">
        <v>4918</v>
      </c>
      <c r="I2075" s="46"/>
      <c r="J2075" s="1"/>
      <c r="K2075" s="1" t="s">
        <v>4148</v>
      </c>
      <c r="L2075" s="1"/>
      <c r="M2075" s="1"/>
      <c r="N2075" s="1"/>
      <c r="O2075" s="1"/>
      <c r="P2075" s="6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 customFormat="false" ht="21.75" hidden="false" customHeight="true" outlineLevel="0" collapsed="false">
      <c r="A2076" s="4" t="n">
        <v>43495</v>
      </c>
      <c r="B2076" s="46" t="s">
        <v>127</v>
      </c>
      <c r="C2076" s="46" t="s">
        <v>15</v>
      </c>
      <c r="D2076" s="46" t="s">
        <v>43</v>
      </c>
      <c r="E2076" s="46" t="s">
        <v>109</v>
      </c>
      <c r="F2076" s="46" t="s">
        <v>4919</v>
      </c>
      <c r="G2076" s="46" t="n">
        <f aca="false">+593989894045</f>
        <v>593989894045</v>
      </c>
      <c r="H2076" s="46" t="s">
        <v>4920</v>
      </c>
      <c r="I2076" s="46"/>
      <c r="J2076" s="1"/>
      <c r="K2076" s="1" t="s">
        <v>3372</v>
      </c>
      <c r="L2076" s="1"/>
      <c r="M2076" s="1"/>
      <c r="N2076" s="1"/>
      <c r="O2076" s="1"/>
      <c r="P2076" s="6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 customFormat="false" ht="21.75" hidden="false" customHeight="true" outlineLevel="0" collapsed="false">
      <c r="A2077" s="4" t="n">
        <v>43495</v>
      </c>
      <c r="B2077" s="46" t="s">
        <v>1478</v>
      </c>
      <c r="C2077" s="46" t="s">
        <v>15</v>
      </c>
      <c r="D2077" s="46" t="s">
        <v>43</v>
      </c>
      <c r="E2077" s="46" t="s">
        <v>109</v>
      </c>
      <c r="F2077" s="46" t="s">
        <v>4921</v>
      </c>
      <c r="G2077" s="46" t="n">
        <f aca="false">+593990696556</f>
        <v>593990696556</v>
      </c>
      <c r="H2077" s="46" t="s">
        <v>4922</v>
      </c>
      <c r="I2077" s="46"/>
      <c r="J2077" s="1"/>
      <c r="K2077" s="1" t="s">
        <v>3372</v>
      </c>
      <c r="L2077" s="1"/>
      <c r="M2077" s="1"/>
      <c r="N2077" s="1"/>
      <c r="O2077" s="1"/>
      <c r="P2077" s="6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 customFormat="false" ht="21.75" hidden="false" customHeight="true" outlineLevel="0" collapsed="false">
      <c r="A2078" s="4" t="n">
        <v>43495</v>
      </c>
      <c r="B2078" s="53" t="s">
        <v>48</v>
      </c>
      <c r="C2078" s="46" t="s">
        <v>26</v>
      </c>
      <c r="D2078" s="46" t="s">
        <v>43</v>
      </c>
      <c r="E2078" s="46" t="s">
        <v>44</v>
      </c>
      <c r="F2078" s="46" t="s">
        <v>4923</v>
      </c>
      <c r="G2078" s="46" t="n">
        <f aca="false">+5930958821325</f>
        <v>5930958821325</v>
      </c>
      <c r="H2078" s="46" t="s">
        <v>4924</v>
      </c>
      <c r="I2078" s="46"/>
      <c r="J2078" s="1"/>
      <c r="K2078" s="1" t="s">
        <v>3372</v>
      </c>
      <c r="L2078" s="1"/>
      <c r="M2078" s="1"/>
      <c r="N2078" s="1"/>
      <c r="O2078" s="1"/>
      <c r="P2078" s="6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 customFormat="false" ht="21.75" hidden="false" customHeight="true" outlineLevel="0" collapsed="false">
      <c r="A2079" s="4" t="n">
        <v>43495</v>
      </c>
      <c r="B2079" s="53" t="s">
        <v>48</v>
      </c>
      <c r="C2079" s="46" t="s">
        <v>26</v>
      </c>
      <c r="D2079" s="46" t="s">
        <v>43</v>
      </c>
      <c r="E2079" s="46" t="s">
        <v>44</v>
      </c>
      <c r="F2079" s="46" t="s">
        <v>4925</v>
      </c>
      <c r="G2079" s="46" t="n">
        <f aca="false">+593998430699</f>
        <v>593998430699</v>
      </c>
      <c r="H2079" s="46" t="s">
        <v>4926</v>
      </c>
      <c r="I2079" s="46"/>
      <c r="J2079" s="1"/>
      <c r="K2079" s="1" t="s">
        <v>3372</v>
      </c>
      <c r="L2079" s="1"/>
      <c r="M2079" s="1"/>
      <c r="N2079" s="1"/>
      <c r="O2079" s="1"/>
      <c r="P2079" s="6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 customFormat="false" ht="21.75" hidden="false" customHeight="true" outlineLevel="0" collapsed="false">
      <c r="A2080" s="4" t="n">
        <v>43495</v>
      </c>
      <c r="B2080" s="53" t="s">
        <v>48</v>
      </c>
      <c r="C2080" s="46" t="s">
        <v>15</v>
      </c>
      <c r="D2080" s="46" t="s">
        <v>43</v>
      </c>
      <c r="E2080" s="46" t="s">
        <v>44</v>
      </c>
      <c r="F2080" s="46" t="s">
        <v>4927</v>
      </c>
      <c r="G2080" s="46" t="n">
        <f aca="false">+593997863542</f>
        <v>593997863542</v>
      </c>
      <c r="H2080" s="46" t="s">
        <v>4928</v>
      </c>
      <c r="I2080" s="46"/>
      <c r="J2080" s="1"/>
      <c r="K2080" s="1" t="s">
        <v>3372</v>
      </c>
      <c r="L2080" s="1"/>
      <c r="M2080" s="1"/>
      <c r="N2080" s="1"/>
      <c r="O2080" s="1"/>
      <c r="P2080" s="6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 customFormat="false" ht="21.75" hidden="false" customHeight="true" outlineLevel="0" collapsed="false">
      <c r="A2081" s="4" t="n">
        <v>43495</v>
      </c>
      <c r="B2081" s="53" t="s">
        <v>48</v>
      </c>
      <c r="C2081" s="46" t="s">
        <v>15</v>
      </c>
      <c r="D2081" s="46" t="s">
        <v>43</v>
      </c>
      <c r="E2081" s="46" t="s">
        <v>44</v>
      </c>
      <c r="F2081" s="46" t="s">
        <v>4929</v>
      </c>
      <c r="G2081" s="46" t="n">
        <f aca="false">+593987979250</f>
        <v>593987979250</v>
      </c>
      <c r="H2081" s="46" t="s">
        <v>4930</v>
      </c>
      <c r="I2081" s="46"/>
      <c r="J2081" s="1"/>
      <c r="K2081" s="1" t="s">
        <v>3372</v>
      </c>
      <c r="L2081" s="1"/>
      <c r="M2081" s="1"/>
      <c r="N2081" s="1"/>
      <c r="O2081" s="1"/>
      <c r="P2081" s="6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 customFormat="false" ht="21.75" hidden="false" customHeight="true" outlineLevel="0" collapsed="false">
      <c r="A2082" s="4" t="n">
        <v>43495</v>
      </c>
      <c r="B2082" s="53" t="s">
        <v>48</v>
      </c>
      <c r="C2082" s="46" t="s">
        <v>15</v>
      </c>
      <c r="D2082" s="46" t="s">
        <v>43</v>
      </c>
      <c r="E2082" s="46" t="s">
        <v>44</v>
      </c>
      <c r="F2082" s="46" t="s">
        <v>4931</v>
      </c>
      <c r="G2082" s="46" t="n">
        <f aca="false">+593980884326</f>
        <v>593980884326</v>
      </c>
      <c r="H2082" s="46" t="s">
        <v>4932</v>
      </c>
      <c r="I2082" s="46"/>
      <c r="J2082" s="1"/>
      <c r="K2082" s="1" t="s">
        <v>3372</v>
      </c>
      <c r="L2082" s="1"/>
      <c r="M2082" s="1"/>
      <c r="N2082" s="1"/>
      <c r="O2082" s="1"/>
      <c r="P2082" s="6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 customFormat="false" ht="21.75" hidden="false" customHeight="true" outlineLevel="0" collapsed="false">
      <c r="A2083" s="4" t="n">
        <v>43495</v>
      </c>
      <c r="B2083" s="53" t="s">
        <v>48</v>
      </c>
      <c r="C2083" s="46" t="s">
        <v>15</v>
      </c>
      <c r="D2083" s="46" t="s">
        <v>43</v>
      </c>
      <c r="E2083" s="46" t="s">
        <v>44</v>
      </c>
      <c r="F2083" s="46" t="s">
        <v>4933</v>
      </c>
      <c r="G2083" s="46" t="n">
        <f aca="false">+593989193583</f>
        <v>593989193583</v>
      </c>
      <c r="H2083" s="46" t="s">
        <v>1302</v>
      </c>
      <c r="I2083" s="46"/>
      <c r="J2083" s="1"/>
      <c r="K2083" s="1" t="s">
        <v>3372</v>
      </c>
      <c r="L2083" s="1"/>
      <c r="M2083" s="1"/>
      <c r="N2083" s="1"/>
      <c r="O2083" s="1"/>
      <c r="P2083" s="6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 customFormat="false" ht="21.75" hidden="false" customHeight="true" outlineLevel="0" collapsed="false">
      <c r="A2084" s="4" t="n">
        <v>43495</v>
      </c>
      <c r="B2084" s="53" t="s">
        <v>48</v>
      </c>
      <c r="C2084" s="46" t="s">
        <v>26</v>
      </c>
      <c r="D2084" s="46" t="s">
        <v>43</v>
      </c>
      <c r="E2084" s="46" t="s">
        <v>44</v>
      </c>
      <c r="F2084" s="46" t="s">
        <v>4934</v>
      </c>
      <c r="G2084" s="46" t="n">
        <f aca="false">+5930939383672</f>
        <v>5930939383672</v>
      </c>
      <c r="H2084" s="46" t="s">
        <v>4935</v>
      </c>
      <c r="I2084" s="46"/>
      <c r="J2084" s="1"/>
      <c r="K2084" s="1" t="s">
        <v>3372</v>
      </c>
      <c r="L2084" s="1"/>
      <c r="M2084" s="1"/>
      <c r="N2084" s="1"/>
      <c r="O2084" s="1"/>
      <c r="P2084" s="6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 customFormat="false" ht="21.75" hidden="false" customHeight="true" outlineLevel="0" collapsed="false">
      <c r="A2085" s="4" t="n">
        <v>43495</v>
      </c>
      <c r="B2085" s="53" t="s">
        <v>127</v>
      </c>
      <c r="C2085" s="46" t="s">
        <v>15</v>
      </c>
      <c r="D2085" s="46" t="s">
        <v>43</v>
      </c>
      <c r="E2085" s="46" t="s">
        <v>44</v>
      </c>
      <c r="F2085" s="46" t="s">
        <v>4936</v>
      </c>
      <c r="G2085" s="46" t="n">
        <f aca="false">+510980178013</f>
        <v>510980178013</v>
      </c>
      <c r="H2085" s="46" t="s">
        <v>4937</v>
      </c>
      <c r="I2085" s="46"/>
      <c r="J2085" s="1"/>
      <c r="K2085" s="1" t="s">
        <v>3372</v>
      </c>
      <c r="L2085" s="1"/>
      <c r="M2085" s="1"/>
      <c r="N2085" s="1"/>
      <c r="O2085" s="1"/>
      <c r="P2085" s="6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 customFormat="false" ht="21.75" hidden="false" customHeight="true" outlineLevel="0" collapsed="false">
      <c r="A2086" s="4" t="n">
        <v>43495</v>
      </c>
      <c r="B2086" s="53" t="s">
        <v>42</v>
      </c>
      <c r="C2086" s="46" t="s">
        <v>15</v>
      </c>
      <c r="D2086" s="46" t="s">
        <v>43</v>
      </c>
      <c r="E2086" s="46" t="s">
        <v>44</v>
      </c>
      <c r="F2086" s="46" t="s">
        <v>4938</v>
      </c>
      <c r="G2086" s="46" t="n">
        <f aca="false">+593980068158</f>
        <v>593980068158</v>
      </c>
      <c r="H2086" s="46" t="s">
        <v>4939</v>
      </c>
      <c r="I2086" s="46"/>
      <c r="J2086" s="1"/>
      <c r="K2086" s="1" t="s">
        <v>3404</v>
      </c>
      <c r="L2086" s="1"/>
      <c r="M2086" s="1"/>
      <c r="N2086" s="1"/>
      <c r="O2086" s="1"/>
      <c r="P2086" s="6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 customFormat="false" ht="21.75" hidden="false" customHeight="true" outlineLevel="0" collapsed="false">
      <c r="A2087" s="4" t="n">
        <v>43495</v>
      </c>
      <c r="B2087" s="53" t="s">
        <v>42</v>
      </c>
      <c r="C2087" s="46" t="s">
        <v>15</v>
      </c>
      <c r="D2087" s="46" t="s">
        <v>43</v>
      </c>
      <c r="E2087" s="46" t="s">
        <v>44</v>
      </c>
      <c r="F2087" s="46" t="s">
        <v>4940</v>
      </c>
      <c r="G2087" s="46" t="n">
        <f aca="false">+593998724847</f>
        <v>593998724847</v>
      </c>
      <c r="H2087" s="46" t="s">
        <v>4941</v>
      </c>
      <c r="I2087" s="46"/>
      <c r="J2087" s="1"/>
      <c r="K2087" s="1" t="s">
        <v>3372</v>
      </c>
      <c r="L2087" s="1"/>
      <c r="M2087" s="1"/>
      <c r="N2087" s="1"/>
      <c r="O2087" s="1"/>
      <c r="P2087" s="6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 customFormat="false" ht="21.75" hidden="false" customHeight="true" outlineLevel="0" collapsed="false">
      <c r="A2088" s="4" t="n">
        <v>43495</v>
      </c>
      <c r="B2088" s="53" t="s">
        <v>42</v>
      </c>
      <c r="C2088" s="46" t="s">
        <v>15</v>
      </c>
      <c r="D2088" s="46" t="s">
        <v>43</v>
      </c>
      <c r="E2088" s="46" t="s">
        <v>44</v>
      </c>
      <c r="F2088" s="46" t="s">
        <v>4942</v>
      </c>
      <c r="G2088" s="46" t="n">
        <f aca="false">+593991881276</f>
        <v>593991881276</v>
      </c>
      <c r="H2088" s="46" t="s">
        <v>4943</v>
      </c>
      <c r="I2088" s="46"/>
      <c r="J2088" s="1"/>
      <c r="K2088" s="1" t="s">
        <v>4944</v>
      </c>
      <c r="L2088" s="1"/>
      <c r="M2088" s="1"/>
      <c r="N2088" s="1"/>
      <c r="O2088" s="1"/>
      <c r="P2088" s="6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 customFormat="false" ht="21.75" hidden="false" customHeight="true" outlineLevel="0" collapsed="false">
      <c r="A2089" s="4" t="n">
        <v>43495</v>
      </c>
      <c r="B2089" s="53" t="s">
        <v>415</v>
      </c>
      <c r="C2089" s="46" t="s">
        <v>15</v>
      </c>
      <c r="D2089" s="46" t="s">
        <v>43</v>
      </c>
      <c r="E2089" s="46" t="s">
        <v>44</v>
      </c>
      <c r="F2089" s="46" t="s">
        <v>4945</v>
      </c>
      <c r="G2089" s="46" t="n">
        <f aca="false">+593997707515</f>
        <v>593997707515</v>
      </c>
      <c r="H2089" s="46" t="s">
        <v>4946</v>
      </c>
      <c r="I2089" s="46"/>
      <c r="J2089" s="1"/>
      <c r="K2089" s="1" t="s">
        <v>3372</v>
      </c>
      <c r="L2089" s="1"/>
      <c r="M2089" s="1"/>
      <c r="N2089" s="1"/>
      <c r="O2089" s="1"/>
      <c r="P2089" s="6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 customFormat="false" ht="21.75" hidden="false" customHeight="true" outlineLevel="0" collapsed="false">
      <c r="A2090" s="4" t="n">
        <v>43495</v>
      </c>
      <c r="B2090" s="53" t="s">
        <v>178</v>
      </c>
      <c r="C2090" s="46" t="s">
        <v>15</v>
      </c>
      <c r="D2090" s="46" t="s">
        <v>43</v>
      </c>
      <c r="E2090" s="46" t="s">
        <v>44</v>
      </c>
      <c r="F2090" s="46" t="s">
        <v>4947</v>
      </c>
      <c r="G2090" s="46" t="n">
        <f aca="false">+593994067906</f>
        <v>593994067906</v>
      </c>
      <c r="H2090" s="46" t="s">
        <v>4948</v>
      </c>
      <c r="I2090" s="46"/>
      <c r="J2090" s="1"/>
      <c r="K2090" s="1" t="s">
        <v>4944</v>
      </c>
      <c r="L2090" s="1"/>
      <c r="M2090" s="1"/>
      <c r="N2090" s="1"/>
      <c r="O2090" s="1"/>
      <c r="P2090" s="6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 customFormat="false" ht="21.75" hidden="false" customHeight="true" outlineLevel="0" collapsed="false">
      <c r="A2091" s="4" t="n">
        <v>43495</v>
      </c>
      <c r="B2091" s="53" t="s">
        <v>81</v>
      </c>
      <c r="C2091" s="46" t="s">
        <v>15</v>
      </c>
      <c r="D2091" s="46" t="s">
        <v>43</v>
      </c>
      <c r="E2091" s="46" t="s">
        <v>44</v>
      </c>
      <c r="F2091" s="46" t="s">
        <v>4949</v>
      </c>
      <c r="G2091" s="46" t="n">
        <f aca="false">+5930959257707</f>
        <v>5930959257707</v>
      </c>
      <c r="H2091" s="46" t="s">
        <v>4950</v>
      </c>
      <c r="I2091" s="46"/>
      <c r="J2091" s="1"/>
      <c r="K2091" s="1" t="s">
        <v>3372</v>
      </c>
      <c r="L2091" s="1"/>
      <c r="M2091" s="1"/>
      <c r="N2091" s="1"/>
      <c r="O2091" s="1"/>
      <c r="P2091" s="6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 customFormat="false" ht="21.75" hidden="false" customHeight="true" outlineLevel="0" collapsed="false">
      <c r="A2092" s="4" t="n">
        <v>43495</v>
      </c>
      <c r="B2092" s="53" t="s">
        <v>166</v>
      </c>
      <c r="C2092" s="46" t="s">
        <v>15</v>
      </c>
      <c r="D2092" s="46" t="s">
        <v>16</v>
      </c>
      <c r="E2092" s="46" t="s">
        <v>17</v>
      </c>
      <c r="F2092" s="46" t="s">
        <v>4951</v>
      </c>
      <c r="G2092" s="46" t="n">
        <f aca="false">+593984699781</f>
        <v>593984699781</v>
      </c>
      <c r="H2092" s="46" t="s">
        <v>4952</v>
      </c>
      <c r="I2092" s="46"/>
      <c r="J2092" s="1"/>
      <c r="K2092" s="1" t="s">
        <v>3372</v>
      </c>
      <c r="L2092" s="1" t="s">
        <v>4953</v>
      </c>
      <c r="M2092" s="1"/>
      <c r="N2092" s="1"/>
      <c r="O2092" s="1"/>
      <c r="P2092" s="6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 customFormat="false" ht="21.75" hidden="false" customHeight="true" outlineLevel="0" collapsed="false">
      <c r="A2093" s="4" t="n">
        <v>43495</v>
      </c>
      <c r="B2093" s="53" t="s">
        <v>166</v>
      </c>
      <c r="C2093" s="46" t="s">
        <v>15</v>
      </c>
      <c r="D2093" s="46" t="s">
        <v>16</v>
      </c>
      <c r="E2093" s="46" t="s">
        <v>17</v>
      </c>
      <c r="F2093" s="46" t="s">
        <v>4954</v>
      </c>
      <c r="G2093" s="46" t="n">
        <f aca="false">+593980229101</f>
        <v>593980229101</v>
      </c>
      <c r="H2093" s="46" t="s">
        <v>4955</v>
      </c>
      <c r="I2093" s="46"/>
      <c r="J2093" s="1"/>
      <c r="K2093" s="1" t="s">
        <v>3372</v>
      </c>
      <c r="L2093" s="1" t="s">
        <v>3372</v>
      </c>
      <c r="M2093" s="1"/>
      <c r="N2093" s="1"/>
      <c r="O2093" s="1"/>
      <c r="P2093" s="6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 customFormat="false" ht="21.75" hidden="false" customHeight="true" outlineLevel="0" collapsed="false">
      <c r="A2094" s="4" t="n">
        <v>43495</v>
      </c>
      <c r="B2094" s="53" t="s">
        <v>166</v>
      </c>
      <c r="C2094" s="46" t="s">
        <v>15</v>
      </c>
      <c r="D2094" s="46" t="s">
        <v>16</v>
      </c>
      <c r="E2094" s="46" t="s">
        <v>17</v>
      </c>
      <c r="F2094" s="46" t="s">
        <v>4956</v>
      </c>
      <c r="G2094" s="46" t="n">
        <f aca="false">+5930987108593</f>
        <v>5930987108593</v>
      </c>
      <c r="H2094" s="46" t="s">
        <v>4957</v>
      </c>
      <c r="I2094" s="46"/>
      <c r="J2094" s="1"/>
      <c r="K2094" s="1" t="s">
        <v>4519</v>
      </c>
      <c r="L2094" s="1" t="s">
        <v>3380</v>
      </c>
      <c r="M2094" s="1"/>
      <c r="N2094" s="1"/>
      <c r="O2094" s="1"/>
      <c r="P2094" s="6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 customFormat="false" ht="21.75" hidden="false" customHeight="true" outlineLevel="0" collapsed="false">
      <c r="A2095" s="4" t="n">
        <v>43495</v>
      </c>
      <c r="B2095" s="53" t="s">
        <v>166</v>
      </c>
      <c r="C2095" s="46" t="s">
        <v>15</v>
      </c>
      <c r="D2095" s="46" t="s">
        <v>16</v>
      </c>
      <c r="E2095" s="46" t="s">
        <v>17</v>
      </c>
      <c r="F2095" s="46" t="s">
        <v>4958</v>
      </c>
      <c r="G2095" s="46" t="n">
        <f aca="false">+593979299961</f>
        <v>593979299961</v>
      </c>
      <c r="H2095" s="46" t="s">
        <v>4959</v>
      </c>
      <c r="I2095" s="46"/>
      <c r="J2095" s="1"/>
      <c r="K2095" s="1" t="s">
        <v>3372</v>
      </c>
      <c r="L2095" s="1" t="s">
        <v>3372</v>
      </c>
      <c r="M2095" s="1"/>
      <c r="N2095" s="1"/>
      <c r="O2095" s="1"/>
      <c r="P2095" s="6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 customFormat="false" ht="21.75" hidden="false" customHeight="true" outlineLevel="0" collapsed="false">
      <c r="A2096" s="4" t="n">
        <v>43495</v>
      </c>
      <c r="B2096" s="53" t="s">
        <v>166</v>
      </c>
      <c r="C2096" s="46" t="s">
        <v>15</v>
      </c>
      <c r="D2096" s="46" t="s">
        <v>16</v>
      </c>
      <c r="E2096" s="46" t="s">
        <v>17</v>
      </c>
      <c r="F2096" s="46" t="s">
        <v>4960</v>
      </c>
      <c r="G2096" s="46" t="n">
        <f aca="false">+593995604595</f>
        <v>593995604595</v>
      </c>
      <c r="H2096" s="46" t="s">
        <v>4361</v>
      </c>
      <c r="I2096" s="46"/>
      <c r="J2096" s="1"/>
      <c r="K2096" s="1" t="s">
        <v>3372</v>
      </c>
      <c r="L2096" s="1" t="s">
        <v>3372</v>
      </c>
      <c r="M2096" s="1"/>
      <c r="N2096" s="1"/>
      <c r="O2096" s="1"/>
      <c r="P2096" s="6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 customFormat="false" ht="21.75" hidden="false" customHeight="true" outlineLevel="0" collapsed="false">
      <c r="A2097" s="4" t="n">
        <v>43495</v>
      </c>
      <c r="B2097" s="53" t="s">
        <v>301</v>
      </c>
      <c r="C2097" s="46" t="s">
        <v>15</v>
      </c>
      <c r="D2097" s="46" t="s">
        <v>16</v>
      </c>
      <c r="E2097" s="46" t="s">
        <v>17</v>
      </c>
      <c r="F2097" s="46" t="s">
        <v>4961</v>
      </c>
      <c r="G2097" s="46" t="n">
        <f aca="false">+593986099639</f>
        <v>593986099639</v>
      </c>
      <c r="H2097" s="46" t="s">
        <v>4962</v>
      </c>
      <c r="I2097" s="46"/>
      <c r="J2097" s="1"/>
      <c r="K2097" s="1" t="s">
        <v>4963</v>
      </c>
      <c r="L2097" s="1" t="s">
        <v>3372</v>
      </c>
      <c r="M2097" s="1"/>
      <c r="N2097" s="1"/>
      <c r="O2097" s="1"/>
      <c r="P2097" s="6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 customFormat="false" ht="21.75" hidden="false" customHeight="true" outlineLevel="0" collapsed="false">
      <c r="A2098" s="4" t="n">
        <v>43495</v>
      </c>
      <c r="B2098" s="53" t="s">
        <v>86</v>
      </c>
      <c r="C2098" s="46" t="s">
        <v>15</v>
      </c>
      <c r="D2098" s="46" t="s">
        <v>16</v>
      </c>
      <c r="E2098" s="46" t="s">
        <v>17</v>
      </c>
      <c r="F2098" s="46" t="s">
        <v>4964</v>
      </c>
      <c r="G2098" s="46" t="n">
        <f aca="false">+593983394770</f>
        <v>593983394770</v>
      </c>
      <c r="H2098" s="46" t="s">
        <v>4965</v>
      </c>
      <c r="I2098" s="46"/>
      <c r="J2098" s="1"/>
      <c r="K2098" s="1" t="s">
        <v>3372</v>
      </c>
      <c r="L2098" s="1" t="s">
        <v>4966</v>
      </c>
      <c r="M2098" s="1"/>
      <c r="N2098" s="1"/>
      <c r="O2098" s="1"/>
      <c r="P2098" s="6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 customFormat="false" ht="21.75" hidden="false" customHeight="true" outlineLevel="0" collapsed="false">
      <c r="A2099" s="4" t="n">
        <v>43495</v>
      </c>
      <c r="B2099" s="53" t="s">
        <v>86</v>
      </c>
      <c r="C2099" s="46" t="s">
        <v>15</v>
      </c>
      <c r="D2099" s="46" t="s">
        <v>16</v>
      </c>
      <c r="E2099" s="46" t="s">
        <v>17</v>
      </c>
      <c r="F2099" s="46" t="s">
        <v>4967</v>
      </c>
      <c r="G2099" s="46" t="n">
        <f aca="false">+593982815343</f>
        <v>593982815343</v>
      </c>
      <c r="H2099" s="46" t="s">
        <v>4968</v>
      </c>
      <c r="I2099" s="46"/>
      <c r="J2099" s="1"/>
      <c r="K2099" s="1" t="s">
        <v>3372</v>
      </c>
      <c r="L2099" s="1" t="s">
        <v>3380</v>
      </c>
      <c r="M2099" s="1"/>
      <c r="N2099" s="1"/>
      <c r="O2099" s="1"/>
      <c r="P2099" s="6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 customFormat="false" ht="21.75" hidden="false" customHeight="true" outlineLevel="0" collapsed="false">
      <c r="A2100" s="4" t="n">
        <v>43495</v>
      </c>
      <c r="B2100" s="53" t="s">
        <v>86</v>
      </c>
      <c r="C2100" s="46" t="s">
        <v>15</v>
      </c>
      <c r="D2100" s="46" t="s">
        <v>16</v>
      </c>
      <c r="E2100" s="46" t="s">
        <v>17</v>
      </c>
      <c r="F2100" s="46" t="s">
        <v>4969</v>
      </c>
      <c r="G2100" s="46" t="n">
        <f aca="false">+593992397962</f>
        <v>593992397962</v>
      </c>
      <c r="H2100" s="46" t="s">
        <v>4970</v>
      </c>
      <c r="I2100" s="46"/>
      <c r="J2100" s="1"/>
      <c r="K2100" s="1" t="s">
        <v>3372</v>
      </c>
      <c r="L2100" s="1" t="s">
        <v>3372</v>
      </c>
      <c r="M2100" s="1"/>
      <c r="N2100" s="1"/>
      <c r="O2100" s="1"/>
      <c r="P2100" s="6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 customFormat="false" ht="21.75" hidden="false" customHeight="true" outlineLevel="0" collapsed="false">
      <c r="A2101" s="4" t="n">
        <v>43495</v>
      </c>
      <c r="B2101" s="53" t="s">
        <v>86</v>
      </c>
      <c r="C2101" s="46" t="s">
        <v>15</v>
      </c>
      <c r="D2101" s="46" t="s">
        <v>16</v>
      </c>
      <c r="E2101" s="46" t="s">
        <v>17</v>
      </c>
      <c r="F2101" s="46" t="s">
        <v>4971</v>
      </c>
      <c r="G2101" s="46" t="n">
        <f aca="false">+593994556723</f>
        <v>593994556723</v>
      </c>
      <c r="H2101" s="46" t="s">
        <v>4972</v>
      </c>
      <c r="I2101" s="46"/>
      <c r="J2101" s="1"/>
      <c r="K2101" s="1" t="s">
        <v>3372</v>
      </c>
      <c r="L2101" s="1" t="s">
        <v>3372</v>
      </c>
      <c r="M2101" s="1"/>
      <c r="N2101" s="1"/>
      <c r="O2101" s="1"/>
      <c r="P2101" s="6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 customFormat="false" ht="21.75" hidden="false" customHeight="true" outlineLevel="0" collapsed="false">
      <c r="A2102" s="4" t="n">
        <v>43495</v>
      </c>
      <c r="B2102" s="53" t="s">
        <v>108</v>
      </c>
      <c r="C2102" s="46" t="s">
        <v>15</v>
      </c>
      <c r="D2102" s="46" t="s">
        <v>16</v>
      </c>
      <c r="E2102" s="46" t="s">
        <v>17</v>
      </c>
      <c r="F2102" s="46" t="s">
        <v>4973</v>
      </c>
      <c r="G2102" s="46" t="n">
        <f aca="false">+593987556856</f>
        <v>593987556856</v>
      </c>
      <c r="H2102" s="46" t="s">
        <v>4974</v>
      </c>
      <c r="I2102" s="46"/>
      <c r="J2102" s="1"/>
      <c r="K2102" s="1" t="s">
        <v>3372</v>
      </c>
      <c r="L2102" s="1" t="s">
        <v>3380</v>
      </c>
      <c r="M2102" s="1"/>
      <c r="N2102" s="1"/>
      <c r="O2102" s="1"/>
      <c r="P2102" s="6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 customFormat="false" ht="21.75" hidden="false" customHeight="true" outlineLevel="0" collapsed="false">
      <c r="A2103" s="4" t="n">
        <v>43495</v>
      </c>
      <c r="B2103" s="53" t="s">
        <v>911</v>
      </c>
      <c r="C2103" s="46" t="s">
        <v>15</v>
      </c>
      <c r="D2103" s="46" t="s">
        <v>16</v>
      </c>
      <c r="E2103" s="46" t="s">
        <v>17</v>
      </c>
      <c r="F2103" s="46" t="s">
        <v>4975</v>
      </c>
      <c r="G2103" s="46" t="n">
        <f aca="false">+593991754495</f>
        <v>593991754495</v>
      </c>
      <c r="H2103" s="46" t="s">
        <v>4976</v>
      </c>
      <c r="I2103" s="46"/>
      <c r="J2103" s="1"/>
      <c r="K2103" s="1" t="s">
        <v>3380</v>
      </c>
      <c r="L2103" s="1" t="s">
        <v>3372</v>
      </c>
      <c r="M2103" s="1"/>
      <c r="N2103" s="1"/>
      <c r="O2103" s="1"/>
      <c r="P2103" s="6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 customFormat="false" ht="21.75" hidden="false" customHeight="true" outlineLevel="0" collapsed="false">
      <c r="A2104" s="4" t="n">
        <v>43495</v>
      </c>
      <c r="B2104" s="53" t="s">
        <v>14</v>
      </c>
      <c r="C2104" s="46" t="s">
        <v>15</v>
      </c>
      <c r="D2104" s="46" t="s">
        <v>16</v>
      </c>
      <c r="E2104" s="46" t="s">
        <v>17</v>
      </c>
      <c r="F2104" s="46" t="s">
        <v>4977</v>
      </c>
      <c r="G2104" s="46" t="n">
        <f aca="false">+593981547727</f>
        <v>593981547727</v>
      </c>
      <c r="H2104" s="46" t="s">
        <v>4978</v>
      </c>
      <c r="I2104" s="46"/>
      <c r="J2104" s="1"/>
      <c r="K2104" s="1" t="s">
        <v>3372</v>
      </c>
      <c r="L2104" s="1" t="s">
        <v>4850</v>
      </c>
      <c r="M2104" s="1"/>
      <c r="N2104" s="1"/>
      <c r="O2104" s="1"/>
      <c r="P2104" s="6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 customFormat="false" ht="21.75" hidden="false" customHeight="true" outlineLevel="0" collapsed="false">
      <c r="A2105" s="4" t="n">
        <v>43495</v>
      </c>
      <c r="B2105" s="53" t="s">
        <v>14</v>
      </c>
      <c r="C2105" s="46" t="s">
        <v>15</v>
      </c>
      <c r="D2105" s="46" t="s">
        <v>16</v>
      </c>
      <c r="E2105" s="46" t="s">
        <v>17</v>
      </c>
      <c r="F2105" s="46" t="s">
        <v>4979</v>
      </c>
      <c r="G2105" s="46" t="n">
        <f aca="false">+593993925869</f>
        <v>593993925869</v>
      </c>
      <c r="H2105" s="46" t="s">
        <v>4980</v>
      </c>
      <c r="I2105" s="46"/>
      <c r="J2105" s="1"/>
      <c r="K2105" s="1" t="s">
        <v>3372</v>
      </c>
      <c r="L2105" s="1" t="s">
        <v>4189</v>
      </c>
      <c r="M2105" s="1"/>
      <c r="N2105" s="1"/>
      <c r="O2105" s="1"/>
      <c r="P2105" s="6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 customFormat="false" ht="21.75" hidden="false" customHeight="true" outlineLevel="0" collapsed="false">
      <c r="A2106" s="4" t="n">
        <v>43495</v>
      </c>
      <c r="B2106" s="53" t="s">
        <v>14</v>
      </c>
      <c r="C2106" s="46" t="s">
        <v>15</v>
      </c>
      <c r="D2106" s="46" t="s">
        <v>16</v>
      </c>
      <c r="E2106" s="46" t="s">
        <v>17</v>
      </c>
      <c r="F2106" s="46" t="s">
        <v>4981</v>
      </c>
      <c r="G2106" s="46" t="n">
        <f aca="false">+593978945974</f>
        <v>593978945974</v>
      </c>
      <c r="H2106" s="46" t="s">
        <v>4982</v>
      </c>
      <c r="I2106" s="46"/>
      <c r="J2106" s="1"/>
      <c r="K2106" s="1" t="s">
        <v>3443</v>
      </c>
      <c r="L2106" s="1" t="s">
        <v>3372</v>
      </c>
      <c r="M2106" s="1"/>
      <c r="N2106" s="1"/>
      <c r="O2106" s="1"/>
      <c r="P2106" s="6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 customFormat="false" ht="21.75" hidden="false" customHeight="true" outlineLevel="0" collapsed="false">
      <c r="A2107" s="4" t="n">
        <v>43495</v>
      </c>
      <c r="B2107" s="53" t="s">
        <v>14</v>
      </c>
      <c r="C2107" s="46" t="s">
        <v>15</v>
      </c>
      <c r="D2107" s="46" t="s">
        <v>16</v>
      </c>
      <c r="E2107" s="46" t="s">
        <v>17</v>
      </c>
      <c r="F2107" s="46" t="s">
        <v>4983</v>
      </c>
      <c r="G2107" s="46" t="n">
        <f aca="false">+5930979523877</f>
        <v>5930979523877</v>
      </c>
      <c r="H2107" s="46" t="s">
        <v>4984</v>
      </c>
      <c r="I2107" s="46"/>
      <c r="J2107" s="1"/>
      <c r="K2107" s="1" t="s">
        <v>3509</v>
      </c>
      <c r="L2107" s="1" t="s">
        <v>3372</v>
      </c>
      <c r="M2107" s="1"/>
      <c r="N2107" s="1"/>
      <c r="O2107" s="1"/>
      <c r="P2107" s="6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 customFormat="false" ht="21.75" hidden="false" customHeight="true" outlineLevel="0" collapsed="false">
      <c r="A2108" s="4" t="n">
        <v>43495</v>
      </c>
      <c r="B2108" s="53" t="s">
        <v>286</v>
      </c>
      <c r="C2108" s="46" t="s">
        <v>15</v>
      </c>
      <c r="D2108" s="46" t="s">
        <v>16</v>
      </c>
      <c r="E2108" s="46" t="s">
        <v>17</v>
      </c>
      <c r="F2108" s="46" t="s">
        <v>4985</v>
      </c>
      <c r="G2108" s="46" t="n">
        <f aca="false">+593993815435</f>
        <v>593993815435</v>
      </c>
      <c r="H2108" s="46" t="s">
        <v>4986</v>
      </c>
      <c r="I2108" s="46"/>
      <c r="J2108" s="1"/>
      <c r="K2108" s="1" t="s">
        <v>3372</v>
      </c>
      <c r="L2108" s="1" t="s">
        <v>4987</v>
      </c>
      <c r="M2108" s="1"/>
      <c r="N2108" s="1"/>
      <c r="O2108" s="1"/>
      <c r="P2108" s="6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 customFormat="false" ht="21.75" hidden="false" customHeight="true" outlineLevel="0" collapsed="false">
      <c r="A2109" s="4" t="n">
        <v>43495</v>
      </c>
      <c r="B2109" s="53" t="s">
        <v>48</v>
      </c>
      <c r="C2109" s="46" t="s">
        <v>15</v>
      </c>
      <c r="D2109" s="46" t="s">
        <v>43</v>
      </c>
      <c r="E2109" s="46" t="s">
        <v>44</v>
      </c>
      <c r="F2109" s="50" t="s">
        <v>4988</v>
      </c>
      <c r="G2109" s="51" t="n">
        <v>968309342</v>
      </c>
      <c r="H2109" s="52" t="s">
        <v>4989</v>
      </c>
      <c r="I2109" s="52"/>
      <c r="J2109" s="1"/>
      <c r="K2109" s="1" t="s">
        <v>3509</v>
      </c>
      <c r="L2109" s="1"/>
      <c r="M2109" s="1"/>
      <c r="N2109" s="1"/>
      <c r="O2109" s="1"/>
      <c r="P2109" s="6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 customFormat="false" ht="21.75" hidden="false" customHeight="true" outlineLevel="0" collapsed="false">
      <c r="A2110" s="4" t="n">
        <v>43495</v>
      </c>
      <c r="B2110" s="53" t="s">
        <v>48</v>
      </c>
      <c r="C2110" s="46" t="s">
        <v>15</v>
      </c>
      <c r="D2110" s="46" t="s">
        <v>43</v>
      </c>
      <c r="E2110" s="46" t="s">
        <v>109</v>
      </c>
      <c r="F2110" s="50" t="s">
        <v>3930</v>
      </c>
      <c r="G2110" s="51" t="n">
        <v>959055886</v>
      </c>
      <c r="H2110" s="52" t="s">
        <v>3931</v>
      </c>
      <c r="I2110" s="52"/>
      <c r="J2110" s="1"/>
      <c r="K2110" s="1" t="s">
        <v>3372</v>
      </c>
      <c r="L2110" s="1"/>
      <c r="M2110" s="1"/>
      <c r="N2110" s="1"/>
      <c r="O2110" s="1"/>
      <c r="P2110" s="6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 customFormat="false" ht="21.75" hidden="false" customHeight="true" outlineLevel="0" collapsed="false">
      <c r="A2111" s="4" t="n">
        <v>43495</v>
      </c>
      <c r="B2111" s="53" t="s">
        <v>48</v>
      </c>
      <c r="C2111" s="46" t="s">
        <v>15</v>
      </c>
      <c r="D2111" s="46" t="s">
        <v>43</v>
      </c>
      <c r="E2111" s="46" t="s">
        <v>109</v>
      </c>
      <c r="F2111" s="50" t="s">
        <v>4990</v>
      </c>
      <c r="G2111" s="51" t="n">
        <v>984976276</v>
      </c>
      <c r="H2111" s="52" t="s">
        <v>4991</v>
      </c>
      <c r="I2111" s="52"/>
      <c r="J2111" s="1"/>
      <c r="K2111" s="1" t="s">
        <v>3509</v>
      </c>
      <c r="L2111" s="1"/>
      <c r="M2111" s="1"/>
      <c r="N2111" s="1"/>
      <c r="O2111" s="1"/>
      <c r="P2111" s="6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 customFormat="false" ht="21.75" hidden="false" customHeight="true" outlineLevel="0" collapsed="false">
      <c r="A2112" s="4" t="n">
        <v>43495</v>
      </c>
      <c r="B2112" s="53" t="s">
        <v>48</v>
      </c>
      <c r="C2112" s="46" t="s">
        <v>15</v>
      </c>
      <c r="D2112" s="46" t="s">
        <v>43</v>
      </c>
      <c r="E2112" s="46" t="s">
        <v>109</v>
      </c>
      <c r="F2112" s="50" t="s">
        <v>4992</v>
      </c>
      <c r="G2112" s="51" t="n">
        <v>967118230</v>
      </c>
      <c r="H2112" s="53"/>
      <c r="I2112" s="53"/>
      <c r="J2112" s="1"/>
      <c r="K2112" s="1" t="s">
        <v>3372</v>
      </c>
      <c r="L2112" s="1"/>
      <c r="M2112" s="1"/>
      <c r="N2112" s="1"/>
      <c r="O2112" s="1"/>
      <c r="P2112" s="6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 customFormat="false" ht="21.75" hidden="false" customHeight="true" outlineLevel="0" collapsed="false">
      <c r="A2113" s="4" t="n">
        <v>43495</v>
      </c>
      <c r="B2113" s="53" t="s">
        <v>86</v>
      </c>
      <c r="C2113" s="46" t="s">
        <v>15</v>
      </c>
      <c r="D2113" s="46" t="s">
        <v>16</v>
      </c>
      <c r="E2113" s="46" t="s">
        <v>17</v>
      </c>
      <c r="F2113" s="50" t="s">
        <v>4993</v>
      </c>
      <c r="G2113" s="51" t="n">
        <v>994441694</v>
      </c>
      <c r="H2113" s="52" t="s">
        <v>4994</v>
      </c>
      <c r="I2113" s="52"/>
      <c r="J2113" s="1"/>
      <c r="K2113" s="1" t="s">
        <v>4995</v>
      </c>
      <c r="L2113" s="1" t="s">
        <v>3372</v>
      </c>
      <c r="M2113" s="1"/>
      <c r="N2113" s="1"/>
      <c r="O2113" s="1"/>
      <c r="P2113" s="6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 customFormat="false" ht="21.75" hidden="false" customHeight="true" outlineLevel="0" collapsed="false">
      <c r="A2114" s="4" t="n">
        <v>43495</v>
      </c>
      <c r="B2114" s="53" t="s">
        <v>48</v>
      </c>
      <c r="C2114" s="46" t="s">
        <v>15</v>
      </c>
      <c r="D2114" s="46" t="s">
        <v>43</v>
      </c>
      <c r="E2114" s="46" t="s">
        <v>109</v>
      </c>
      <c r="F2114" s="50" t="s">
        <v>4981</v>
      </c>
      <c r="G2114" s="53"/>
      <c r="H2114" s="52" t="s">
        <v>4982</v>
      </c>
      <c r="I2114" s="52"/>
      <c r="J2114" s="1"/>
      <c r="K2114" s="1" t="s">
        <v>4996</v>
      </c>
      <c r="L2114" s="1"/>
      <c r="M2114" s="1"/>
      <c r="N2114" s="1"/>
      <c r="O2114" s="1"/>
      <c r="P2114" s="6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 customFormat="false" ht="21.75" hidden="false" customHeight="true" outlineLevel="0" collapsed="false">
      <c r="A2115" s="4" t="n">
        <v>43495</v>
      </c>
      <c r="B2115" s="53" t="s">
        <v>48</v>
      </c>
      <c r="C2115" s="46" t="s">
        <v>15</v>
      </c>
      <c r="D2115" s="46" t="s">
        <v>43</v>
      </c>
      <c r="E2115" s="46" t="s">
        <v>109</v>
      </c>
      <c r="F2115" s="50" t="s">
        <v>4997</v>
      </c>
      <c r="G2115" s="51" t="n">
        <v>988841404</v>
      </c>
      <c r="H2115" s="53"/>
      <c r="I2115" s="53"/>
      <c r="J2115" s="1"/>
      <c r="K2115" s="1" t="s">
        <v>3372</v>
      </c>
      <c r="L2115" s="1"/>
      <c r="M2115" s="1"/>
      <c r="N2115" s="1"/>
      <c r="O2115" s="1"/>
      <c r="P2115" s="6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 customFormat="false" ht="21.75" hidden="false" customHeight="true" outlineLevel="0" collapsed="false">
      <c r="A2116" s="4" t="n">
        <v>43495</v>
      </c>
      <c r="B2116" s="53" t="s">
        <v>48</v>
      </c>
      <c r="C2116" s="46" t="s">
        <v>15</v>
      </c>
      <c r="D2116" s="46" t="s">
        <v>43</v>
      </c>
      <c r="E2116" s="46" t="s">
        <v>109</v>
      </c>
      <c r="F2116" s="50" t="s">
        <v>4998</v>
      </c>
      <c r="G2116" s="51" t="n">
        <v>988193103</v>
      </c>
      <c r="H2116" s="60" t="s">
        <v>4999</v>
      </c>
      <c r="I2116" s="53"/>
      <c r="J2116" s="1"/>
      <c r="K2116" s="1" t="s">
        <v>3372</v>
      </c>
      <c r="L2116" s="1"/>
      <c r="M2116" s="1"/>
      <c r="N2116" s="1"/>
      <c r="O2116" s="1"/>
      <c r="P2116" s="6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 customFormat="false" ht="21.75" hidden="false" customHeight="true" outlineLevel="0" collapsed="false">
      <c r="A2117" s="4" t="n">
        <v>43495</v>
      </c>
      <c r="B2117" s="53" t="s">
        <v>178</v>
      </c>
      <c r="C2117" s="46" t="s">
        <v>15</v>
      </c>
      <c r="D2117" s="46" t="s">
        <v>43</v>
      </c>
      <c r="E2117" s="46" t="s">
        <v>883</v>
      </c>
      <c r="F2117" s="50" t="s">
        <v>5000</v>
      </c>
      <c r="G2117" s="51" t="n">
        <v>981345543</v>
      </c>
      <c r="H2117" s="52"/>
      <c r="I2117" s="52"/>
      <c r="J2117" s="1"/>
      <c r="K2117" s="1" t="s">
        <v>3404</v>
      </c>
      <c r="L2117" s="1"/>
      <c r="M2117" s="1"/>
      <c r="N2117" s="1"/>
      <c r="O2117" s="1"/>
      <c r="P2117" s="6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 customFormat="false" ht="21.75" hidden="false" customHeight="true" outlineLevel="0" collapsed="false">
      <c r="A2118" s="4" t="n">
        <v>43495</v>
      </c>
      <c r="B2118" s="53" t="s">
        <v>86</v>
      </c>
      <c r="C2118" s="46" t="s">
        <v>15</v>
      </c>
      <c r="D2118" s="46" t="s">
        <v>16</v>
      </c>
      <c r="E2118" s="46" t="s">
        <v>17</v>
      </c>
      <c r="F2118" s="50" t="s">
        <v>5001</v>
      </c>
      <c r="G2118" s="51" t="n">
        <v>997415681</v>
      </c>
      <c r="H2118" s="52" t="s">
        <v>5002</v>
      </c>
      <c r="I2118" s="52"/>
      <c r="J2118" s="1"/>
      <c r="K2118" s="1" t="s">
        <v>3372</v>
      </c>
      <c r="L2118" s="1" t="s">
        <v>3372</v>
      </c>
      <c r="M2118" s="1"/>
      <c r="N2118" s="1"/>
      <c r="O2118" s="1"/>
      <c r="P2118" s="6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 customFormat="false" ht="21.75" hidden="false" customHeight="true" outlineLevel="0" collapsed="false">
      <c r="A2119" s="4" t="n">
        <v>43495</v>
      </c>
      <c r="B2119" s="53" t="s">
        <v>352</v>
      </c>
      <c r="C2119" s="46" t="s">
        <v>15</v>
      </c>
      <c r="D2119" s="46" t="s">
        <v>43</v>
      </c>
      <c r="E2119" s="46" t="s">
        <v>883</v>
      </c>
      <c r="F2119" s="50" t="s">
        <v>5003</v>
      </c>
      <c r="G2119" s="51" t="n">
        <v>959674934</v>
      </c>
      <c r="H2119" s="52" t="s">
        <v>5004</v>
      </c>
      <c r="I2119" s="52"/>
      <c r="J2119" s="1"/>
      <c r="K2119" s="1" t="s">
        <v>3372</v>
      </c>
      <c r="L2119" s="1"/>
      <c r="M2119" s="1"/>
      <c r="N2119" s="1"/>
      <c r="O2119" s="1"/>
      <c r="P2119" s="6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 customFormat="false" ht="21.75" hidden="false" customHeight="true" outlineLevel="0" collapsed="false">
      <c r="A2120" s="4" t="n">
        <v>43495</v>
      </c>
      <c r="B2120" s="53" t="s">
        <v>48</v>
      </c>
      <c r="C2120" s="46" t="s">
        <v>15</v>
      </c>
      <c r="D2120" s="46" t="s">
        <v>43</v>
      </c>
      <c r="E2120" s="46" t="s">
        <v>44</v>
      </c>
      <c r="F2120" s="50" t="s">
        <v>5005</v>
      </c>
      <c r="G2120" s="51" t="n">
        <v>983470894</v>
      </c>
      <c r="H2120" s="52" t="s">
        <v>5006</v>
      </c>
      <c r="I2120" s="52"/>
      <c r="J2120" s="1"/>
      <c r="K2120" s="1" t="s">
        <v>3372</v>
      </c>
      <c r="L2120" s="1"/>
      <c r="M2120" s="1"/>
      <c r="N2120" s="1"/>
      <c r="O2120" s="1"/>
      <c r="P2120" s="6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 customFormat="false" ht="21.75" hidden="false" customHeight="true" outlineLevel="0" collapsed="false">
      <c r="A2121" s="4" t="n">
        <v>43495</v>
      </c>
      <c r="B2121" s="53" t="s">
        <v>48</v>
      </c>
      <c r="C2121" s="46" t="s">
        <v>15</v>
      </c>
      <c r="D2121" s="46" t="s">
        <v>43</v>
      </c>
      <c r="E2121" s="46" t="s">
        <v>883</v>
      </c>
      <c r="F2121" s="50" t="s">
        <v>5007</v>
      </c>
      <c r="G2121" s="51" t="n">
        <v>986047329</v>
      </c>
      <c r="H2121" s="52" t="s">
        <v>5008</v>
      </c>
      <c r="I2121" s="52"/>
      <c r="J2121" s="1"/>
      <c r="K2121" s="1" t="s">
        <v>3380</v>
      </c>
      <c r="L2121" s="1"/>
      <c r="M2121" s="1"/>
      <c r="N2121" s="1"/>
      <c r="O2121" s="1"/>
      <c r="P2121" s="6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 customFormat="false" ht="21.75" hidden="false" customHeight="true" outlineLevel="0" collapsed="false">
      <c r="A2122" s="4" t="n">
        <v>43495</v>
      </c>
      <c r="B2122" s="53" t="s">
        <v>352</v>
      </c>
      <c r="C2122" s="46" t="s">
        <v>15</v>
      </c>
      <c r="D2122" s="46" t="s">
        <v>43</v>
      </c>
      <c r="E2122" s="46" t="s">
        <v>109</v>
      </c>
      <c r="F2122" s="50" t="s">
        <v>5009</v>
      </c>
      <c r="G2122" s="51" t="n">
        <v>967822529</v>
      </c>
      <c r="H2122" s="52" t="s">
        <v>5010</v>
      </c>
      <c r="I2122" s="52"/>
      <c r="J2122" s="1"/>
      <c r="K2122" s="1" t="s">
        <v>1166</v>
      </c>
      <c r="L2122" s="1" t="s">
        <v>5011</v>
      </c>
      <c r="M2122" s="1"/>
      <c r="N2122" s="1"/>
      <c r="O2122" s="1"/>
      <c r="P2122" s="6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 customFormat="false" ht="21.75" hidden="false" customHeight="true" outlineLevel="0" collapsed="false">
      <c r="A2123" s="4" t="n">
        <v>43495</v>
      </c>
      <c r="B2123" s="53" t="s">
        <v>48</v>
      </c>
      <c r="C2123" s="46" t="s">
        <v>15</v>
      </c>
      <c r="D2123" s="46" t="s">
        <v>43</v>
      </c>
      <c r="E2123" s="46" t="s">
        <v>109</v>
      </c>
      <c r="F2123" s="50" t="s">
        <v>5012</v>
      </c>
      <c r="G2123" s="51" t="n">
        <v>986362121</v>
      </c>
      <c r="H2123" s="52" t="s">
        <v>5013</v>
      </c>
      <c r="I2123" s="1"/>
      <c r="J2123" s="1"/>
      <c r="K2123" s="1" t="s">
        <v>3372</v>
      </c>
      <c r="L2123" s="1" t="s">
        <v>3372</v>
      </c>
      <c r="M2123" s="1"/>
      <c r="N2123" s="1"/>
      <c r="O2123" s="1"/>
      <c r="P2123" s="6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 customFormat="false" ht="21.75" hidden="false" customHeight="true" outlineLevel="0" collapsed="false">
      <c r="A2124" s="4" t="n">
        <v>43495</v>
      </c>
      <c r="B2124" s="53" t="s">
        <v>14</v>
      </c>
      <c r="C2124" s="46" t="s">
        <v>15</v>
      </c>
      <c r="D2124" s="46" t="s">
        <v>16</v>
      </c>
      <c r="E2124" s="46" t="s">
        <v>17</v>
      </c>
      <c r="F2124" s="50" t="s">
        <v>4499</v>
      </c>
      <c r="G2124" s="51" t="n">
        <v>939145248</v>
      </c>
      <c r="H2124" s="52" t="s">
        <v>4500</v>
      </c>
      <c r="I2124" s="1"/>
      <c r="J2124" s="1"/>
      <c r="K2124" s="1" t="s">
        <v>3372</v>
      </c>
      <c r="L2124" s="1" t="s">
        <v>3372</v>
      </c>
      <c r="M2124" s="1"/>
      <c r="N2124" s="1"/>
      <c r="O2124" s="1"/>
      <c r="P2124" s="6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 customFormat="false" ht="21.75" hidden="false" customHeight="true" outlineLevel="0" collapsed="false">
      <c r="A2125" s="4" t="n">
        <v>43495</v>
      </c>
      <c r="B2125" s="53" t="s">
        <v>1114</v>
      </c>
      <c r="C2125" s="46" t="s">
        <v>15</v>
      </c>
      <c r="D2125" s="46" t="s">
        <v>43</v>
      </c>
      <c r="E2125" s="46" t="s">
        <v>883</v>
      </c>
      <c r="F2125" s="50" t="s">
        <v>5014</v>
      </c>
      <c r="G2125" s="51" t="n">
        <v>986168275</v>
      </c>
      <c r="H2125" s="52" t="s">
        <v>5015</v>
      </c>
      <c r="I2125" s="1"/>
      <c r="J2125" s="1"/>
      <c r="K2125" s="1" t="s">
        <v>3372</v>
      </c>
      <c r="L2125" s="1"/>
      <c r="M2125" s="1"/>
      <c r="N2125" s="1"/>
      <c r="O2125" s="1"/>
      <c r="P2125" s="6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 customFormat="false" ht="21.75" hidden="false" customHeight="true" outlineLevel="0" collapsed="false">
      <c r="A2126" s="4" t="n">
        <v>43495</v>
      </c>
      <c r="B2126" s="53" t="s">
        <v>1114</v>
      </c>
      <c r="C2126" s="46" t="s">
        <v>15</v>
      </c>
      <c r="D2126" s="46" t="s">
        <v>43</v>
      </c>
      <c r="E2126" s="46" t="s">
        <v>883</v>
      </c>
      <c r="F2126" s="50" t="s">
        <v>5016</v>
      </c>
      <c r="G2126" s="51" t="n">
        <v>979268511</v>
      </c>
      <c r="H2126" s="52" t="s">
        <v>5017</v>
      </c>
      <c r="I2126" s="1"/>
      <c r="J2126" s="1"/>
      <c r="K2126" s="1" t="s">
        <v>3509</v>
      </c>
      <c r="L2126" s="1"/>
      <c r="M2126" s="1"/>
      <c r="N2126" s="1"/>
      <c r="O2126" s="1"/>
      <c r="P2126" s="6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 customFormat="false" ht="21.75" hidden="false" customHeight="true" outlineLevel="0" collapsed="false">
      <c r="A2127" s="4" t="n">
        <v>43495</v>
      </c>
      <c r="B2127" s="53" t="s">
        <v>48</v>
      </c>
      <c r="C2127" s="46" t="s">
        <v>15</v>
      </c>
      <c r="D2127" s="46" t="s">
        <v>43</v>
      </c>
      <c r="E2127" s="46" t="s">
        <v>109</v>
      </c>
      <c r="F2127" s="50" t="s">
        <v>4802</v>
      </c>
      <c r="G2127" s="51" t="n">
        <v>981772155</v>
      </c>
      <c r="H2127" s="52" t="s">
        <v>4803</v>
      </c>
      <c r="I2127" s="1"/>
      <c r="J2127" s="1"/>
      <c r="K2127" s="1" t="s">
        <v>4583</v>
      </c>
      <c r="L2127" s="1"/>
      <c r="M2127" s="1"/>
      <c r="N2127" s="1"/>
      <c r="O2127" s="1"/>
      <c r="P2127" s="6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 customFormat="false" ht="21.75" hidden="false" customHeight="true" outlineLevel="0" collapsed="false">
      <c r="A2128" s="4" t="n">
        <v>43495</v>
      </c>
      <c r="B2128" s="53" t="s">
        <v>48</v>
      </c>
      <c r="C2128" s="46" t="s">
        <v>15</v>
      </c>
      <c r="D2128" s="46" t="s">
        <v>43</v>
      </c>
      <c r="E2128" s="46" t="s">
        <v>883</v>
      </c>
      <c r="F2128" s="50" t="s">
        <v>5018</v>
      </c>
      <c r="G2128" s="51" t="n">
        <v>960209903</v>
      </c>
      <c r="H2128" s="52" t="s">
        <v>5019</v>
      </c>
      <c r="I2128" s="1"/>
      <c r="J2128" s="1"/>
      <c r="K2128" s="1" t="s">
        <v>3372</v>
      </c>
      <c r="L2128" s="1"/>
      <c r="M2128" s="1"/>
      <c r="N2128" s="1"/>
      <c r="O2128" s="1"/>
      <c r="P2128" s="6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 customFormat="false" ht="21.75" hidden="false" customHeight="true" outlineLevel="0" collapsed="false">
      <c r="A2129" s="4" t="n">
        <v>43495</v>
      </c>
      <c r="B2129" s="53" t="s">
        <v>48</v>
      </c>
      <c r="C2129" s="46" t="s">
        <v>15</v>
      </c>
      <c r="D2129" s="46" t="s">
        <v>43</v>
      </c>
      <c r="E2129" s="46" t="s">
        <v>883</v>
      </c>
      <c r="F2129" s="50" t="s">
        <v>5020</v>
      </c>
      <c r="G2129" s="51" t="n">
        <v>993883656</v>
      </c>
      <c r="H2129" s="52" t="s">
        <v>5021</v>
      </c>
      <c r="I2129" s="1"/>
      <c r="J2129" s="1"/>
      <c r="K2129" s="1" t="s">
        <v>5022</v>
      </c>
      <c r="L2129" s="1"/>
      <c r="M2129" s="1"/>
      <c r="N2129" s="1"/>
      <c r="O2129" s="1"/>
      <c r="P2129" s="6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 customFormat="false" ht="21.75" hidden="false" customHeight="true" outlineLevel="0" collapsed="false">
      <c r="A2130" s="4" t="n">
        <v>43495</v>
      </c>
      <c r="B2130" s="53" t="s">
        <v>48</v>
      </c>
      <c r="C2130" s="46" t="s">
        <v>15</v>
      </c>
      <c r="D2130" s="46" t="s">
        <v>43</v>
      </c>
      <c r="E2130" s="46" t="s">
        <v>109</v>
      </c>
      <c r="F2130" s="50" t="s">
        <v>4802</v>
      </c>
      <c r="G2130" s="51" t="n">
        <v>981772155</v>
      </c>
      <c r="H2130" s="52" t="s">
        <v>4803</v>
      </c>
      <c r="I2130" s="1"/>
      <c r="J2130" s="1"/>
      <c r="K2130" s="1" t="s">
        <v>3372</v>
      </c>
      <c r="L2130" s="1"/>
      <c r="M2130" s="1"/>
      <c r="N2130" s="1"/>
      <c r="O2130" s="1"/>
      <c r="P2130" s="6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 customFormat="false" ht="21.75" hidden="false" customHeight="true" outlineLevel="0" collapsed="false">
      <c r="A2131" s="4" t="n">
        <v>43495</v>
      </c>
      <c r="B2131" s="53" t="s">
        <v>48</v>
      </c>
      <c r="C2131" s="46" t="s">
        <v>15</v>
      </c>
      <c r="D2131" s="46" t="s">
        <v>43</v>
      </c>
      <c r="E2131" s="46" t="s">
        <v>109</v>
      </c>
      <c r="F2131" s="50" t="s">
        <v>5023</v>
      </c>
      <c r="G2131" s="51" t="n">
        <v>967680747</v>
      </c>
      <c r="H2131" s="52" t="s">
        <v>5024</v>
      </c>
      <c r="I2131" s="52"/>
      <c r="J2131" s="1"/>
      <c r="K2131" s="1" t="s">
        <v>3372</v>
      </c>
      <c r="L2131" s="1"/>
      <c r="M2131" s="1"/>
      <c r="N2131" s="1"/>
      <c r="O2131" s="1"/>
      <c r="P2131" s="6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 customFormat="false" ht="21.75" hidden="false" customHeight="true" outlineLevel="0" collapsed="false">
      <c r="A2132" s="4" t="n">
        <v>43495</v>
      </c>
      <c r="B2132" s="53" t="s">
        <v>323</v>
      </c>
      <c r="C2132" s="46" t="s">
        <v>15</v>
      </c>
      <c r="D2132" s="46" t="s">
        <v>43</v>
      </c>
      <c r="E2132" s="46" t="s">
        <v>109</v>
      </c>
      <c r="F2132" s="50" t="s">
        <v>5025</v>
      </c>
      <c r="G2132" s="51" t="n">
        <v>994154072</v>
      </c>
      <c r="H2132" s="52" t="s">
        <v>5026</v>
      </c>
      <c r="I2132" s="52"/>
      <c r="J2132" s="1"/>
      <c r="K2132" s="1" t="s">
        <v>3372</v>
      </c>
      <c r="L2132" s="1"/>
      <c r="M2132" s="1"/>
      <c r="N2132" s="1"/>
      <c r="O2132" s="1"/>
      <c r="P2132" s="6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 customFormat="false" ht="21.75" hidden="false" customHeight="true" outlineLevel="0" collapsed="false">
      <c r="A2133" s="4" t="n">
        <v>43495</v>
      </c>
      <c r="B2133" s="53" t="s">
        <v>48</v>
      </c>
      <c r="C2133" s="46" t="s">
        <v>15</v>
      </c>
      <c r="D2133" s="46" t="s">
        <v>43</v>
      </c>
      <c r="E2133" s="46" t="s">
        <v>109</v>
      </c>
      <c r="F2133" s="50" t="s">
        <v>5027</v>
      </c>
      <c r="G2133" s="51" t="n">
        <v>984085362</v>
      </c>
      <c r="H2133" s="52" t="s">
        <v>5028</v>
      </c>
      <c r="I2133" s="52"/>
      <c r="J2133" s="1"/>
      <c r="K2133" s="1" t="s">
        <v>5029</v>
      </c>
      <c r="L2133" s="1"/>
      <c r="M2133" s="1"/>
      <c r="N2133" s="1"/>
      <c r="O2133" s="1"/>
      <c r="P2133" s="6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 customFormat="false" ht="21.75" hidden="false" customHeight="true" outlineLevel="0" collapsed="false">
      <c r="A2134" s="4" t="n">
        <v>43495</v>
      </c>
      <c r="B2134" s="53" t="s">
        <v>178</v>
      </c>
      <c r="C2134" s="46" t="s">
        <v>15</v>
      </c>
      <c r="D2134" s="46" t="s">
        <v>43</v>
      </c>
      <c r="E2134" s="46" t="s">
        <v>44</v>
      </c>
      <c r="F2134" s="50" t="s">
        <v>5030</v>
      </c>
      <c r="G2134" s="51" t="n">
        <v>983815746</v>
      </c>
      <c r="H2134" s="52" t="s">
        <v>5031</v>
      </c>
      <c r="I2134" s="52"/>
      <c r="J2134" s="1"/>
      <c r="K2134" s="1" t="s">
        <v>3372</v>
      </c>
      <c r="L2134" s="1"/>
      <c r="M2134" s="1"/>
      <c r="N2134" s="1"/>
      <c r="O2134" s="1"/>
      <c r="P2134" s="6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 customFormat="false" ht="21.75" hidden="false" customHeight="true" outlineLevel="0" collapsed="false">
      <c r="A2135" s="4" t="n">
        <v>43495</v>
      </c>
      <c r="B2135" s="53" t="s">
        <v>48</v>
      </c>
      <c r="C2135" s="46" t="s">
        <v>15</v>
      </c>
      <c r="D2135" s="46" t="s">
        <v>43</v>
      </c>
      <c r="E2135" s="46" t="s">
        <v>109</v>
      </c>
      <c r="F2135" s="50" t="s">
        <v>5032</v>
      </c>
      <c r="G2135" s="51" t="n">
        <v>939802964</v>
      </c>
      <c r="H2135" s="52" t="s">
        <v>5033</v>
      </c>
      <c r="I2135" s="52"/>
      <c r="J2135" s="1"/>
      <c r="K2135" s="1" t="s">
        <v>3509</v>
      </c>
      <c r="L2135" s="1"/>
      <c r="M2135" s="1"/>
      <c r="N2135" s="1"/>
      <c r="O2135" s="1"/>
      <c r="P2135" s="6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 customFormat="false" ht="21.75" hidden="false" customHeight="true" outlineLevel="0" collapsed="false">
      <c r="A2136" s="4" t="n">
        <v>43495</v>
      </c>
      <c r="B2136" s="53" t="s">
        <v>48</v>
      </c>
      <c r="C2136" s="46" t="s">
        <v>15</v>
      </c>
      <c r="D2136" s="46" t="s">
        <v>43</v>
      </c>
      <c r="E2136" s="46" t="s">
        <v>109</v>
      </c>
      <c r="F2136" s="50" t="s">
        <v>5034</v>
      </c>
      <c r="G2136" s="51" t="n">
        <v>985381704</v>
      </c>
      <c r="H2136" s="53"/>
      <c r="I2136" s="53"/>
      <c r="J2136" s="1"/>
      <c r="K2136" s="1" t="s">
        <v>3372</v>
      </c>
      <c r="L2136" s="1"/>
      <c r="M2136" s="1"/>
      <c r="N2136" s="1"/>
      <c r="O2136" s="1"/>
      <c r="P2136" s="6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 customFormat="false" ht="21.75" hidden="false" customHeight="true" outlineLevel="0" collapsed="false">
      <c r="A2137" s="4" t="n">
        <v>43495</v>
      </c>
      <c r="B2137" s="53" t="s">
        <v>1114</v>
      </c>
      <c r="C2137" s="46" t="s">
        <v>15</v>
      </c>
      <c r="D2137" s="46" t="s">
        <v>43</v>
      </c>
      <c r="E2137" s="46" t="s">
        <v>109</v>
      </c>
      <c r="F2137" s="50" t="s">
        <v>5035</v>
      </c>
      <c r="G2137" s="51" t="n">
        <v>989080029</v>
      </c>
      <c r="H2137" s="52" t="s">
        <v>5036</v>
      </c>
      <c r="I2137" s="52"/>
      <c r="J2137" s="1"/>
      <c r="K2137" s="1" t="s">
        <v>3372</v>
      </c>
      <c r="L2137" s="1"/>
      <c r="M2137" s="1"/>
      <c r="N2137" s="1"/>
      <c r="O2137" s="1"/>
      <c r="P2137" s="6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 customFormat="false" ht="21.75" hidden="false" customHeight="true" outlineLevel="0" collapsed="false">
      <c r="A2138" s="4" t="n">
        <v>43495</v>
      </c>
      <c r="B2138" s="53" t="s">
        <v>48</v>
      </c>
      <c r="C2138" s="46" t="s">
        <v>15</v>
      </c>
      <c r="D2138" s="46" t="s">
        <v>43</v>
      </c>
      <c r="E2138" s="46" t="s">
        <v>109</v>
      </c>
      <c r="F2138" s="50" t="s">
        <v>5037</v>
      </c>
      <c r="G2138" s="51" t="n">
        <v>987948378</v>
      </c>
      <c r="H2138" s="52" t="s">
        <v>5038</v>
      </c>
      <c r="I2138" s="52"/>
      <c r="J2138" s="1"/>
      <c r="K2138" s="1" t="s">
        <v>3372</v>
      </c>
      <c r="L2138" s="1"/>
      <c r="M2138" s="1"/>
      <c r="N2138" s="1"/>
      <c r="O2138" s="1"/>
      <c r="P2138" s="6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 customFormat="false" ht="21.75" hidden="false" customHeight="true" outlineLevel="0" collapsed="false">
      <c r="A2139" s="4" t="n">
        <v>43495</v>
      </c>
      <c r="B2139" s="53" t="s">
        <v>81</v>
      </c>
      <c r="C2139" s="46" t="s">
        <v>15</v>
      </c>
      <c r="D2139" s="46" t="s">
        <v>43</v>
      </c>
      <c r="E2139" s="46" t="s">
        <v>109</v>
      </c>
      <c r="F2139" s="50" t="s">
        <v>5039</v>
      </c>
      <c r="G2139" s="51" t="n">
        <v>981939100</v>
      </c>
      <c r="H2139" s="53"/>
      <c r="I2139" s="53"/>
      <c r="J2139" s="1"/>
      <c r="K2139" s="1" t="s">
        <v>3372</v>
      </c>
      <c r="L2139" s="1"/>
      <c r="M2139" s="1"/>
      <c r="N2139" s="1"/>
      <c r="O2139" s="1"/>
      <c r="P2139" s="6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 customFormat="false" ht="21.75" hidden="false" customHeight="true" outlineLevel="0" collapsed="false">
      <c r="A2140" s="4" t="n">
        <v>43495</v>
      </c>
      <c r="B2140" s="53" t="s">
        <v>1114</v>
      </c>
      <c r="C2140" s="46" t="s">
        <v>15</v>
      </c>
      <c r="D2140" s="46" t="s">
        <v>43</v>
      </c>
      <c r="E2140" s="46" t="s">
        <v>109</v>
      </c>
      <c r="F2140" s="50" t="s">
        <v>5040</v>
      </c>
      <c r="G2140" s="51" t="n">
        <v>992156764</v>
      </c>
      <c r="H2140" s="52" t="s">
        <v>5041</v>
      </c>
      <c r="I2140" s="52"/>
      <c r="J2140" s="1"/>
      <c r="K2140" s="1" t="s">
        <v>3380</v>
      </c>
      <c r="L2140" s="1"/>
      <c r="M2140" s="1"/>
      <c r="N2140" s="1"/>
      <c r="O2140" s="1"/>
      <c r="P2140" s="6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 customFormat="false" ht="21.75" hidden="false" customHeight="true" outlineLevel="0" collapsed="false">
      <c r="A2141" s="4" t="n">
        <v>43495</v>
      </c>
      <c r="B2141" s="53" t="s">
        <v>48</v>
      </c>
      <c r="C2141" s="46" t="s">
        <v>15</v>
      </c>
      <c r="D2141" s="46" t="s">
        <v>43</v>
      </c>
      <c r="E2141" s="46" t="s">
        <v>109</v>
      </c>
      <c r="F2141" s="50" t="s">
        <v>5042</v>
      </c>
      <c r="G2141" s="53"/>
      <c r="H2141" s="52" t="s">
        <v>5043</v>
      </c>
      <c r="I2141" s="52"/>
      <c r="J2141" s="1"/>
      <c r="K2141" s="1" t="s">
        <v>5044</v>
      </c>
      <c r="L2141" s="1"/>
      <c r="M2141" s="1"/>
      <c r="N2141" s="1"/>
      <c r="O2141" s="1"/>
      <c r="P2141" s="6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 customFormat="false" ht="21.75" hidden="false" customHeight="true" outlineLevel="0" collapsed="false">
      <c r="A2142" s="4" t="n">
        <v>43495</v>
      </c>
      <c r="B2142" s="53" t="s">
        <v>48</v>
      </c>
      <c r="C2142" s="46" t="s">
        <v>15</v>
      </c>
      <c r="D2142" s="46" t="s">
        <v>43</v>
      </c>
      <c r="E2142" s="46" t="s">
        <v>883</v>
      </c>
      <c r="F2142" s="50" t="s">
        <v>5045</v>
      </c>
      <c r="G2142" s="51" t="n">
        <v>958801705</v>
      </c>
      <c r="H2142" s="52" t="s">
        <v>5046</v>
      </c>
      <c r="I2142" s="52"/>
      <c r="J2142" s="1"/>
      <c r="K2142" s="1" t="s">
        <v>3372</v>
      </c>
      <c r="L2142" s="1"/>
      <c r="M2142" s="1"/>
      <c r="N2142" s="1"/>
      <c r="O2142" s="1"/>
      <c r="P2142" s="6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 customFormat="false" ht="21.75" hidden="false" customHeight="true" outlineLevel="0" collapsed="false">
      <c r="A2143" s="4" t="n">
        <v>43495</v>
      </c>
      <c r="B2143" s="53" t="s">
        <v>48</v>
      </c>
      <c r="C2143" s="46" t="s">
        <v>15</v>
      </c>
      <c r="D2143" s="46" t="s">
        <v>43</v>
      </c>
      <c r="E2143" s="46" t="s">
        <v>109</v>
      </c>
      <c r="F2143" s="50" t="s">
        <v>5047</v>
      </c>
      <c r="G2143" s="51" t="n">
        <v>967158942</v>
      </c>
      <c r="H2143" s="52" t="s">
        <v>5048</v>
      </c>
      <c r="I2143" s="52"/>
      <c r="J2143" s="1"/>
      <c r="K2143" s="1" t="s">
        <v>3372</v>
      </c>
      <c r="L2143" s="1"/>
      <c r="M2143" s="1"/>
      <c r="N2143" s="1"/>
      <c r="O2143" s="1"/>
      <c r="P2143" s="6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 customFormat="false" ht="21.75" hidden="false" customHeight="true" outlineLevel="0" collapsed="false">
      <c r="A2144" s="4" t="n">
        <v>43495</v>
      </c>
      <c r="B2144" s="53" t="s">
        <v>352</v>
      </c>
      <c r="C2144" s="46" t="s">
        <v>15</v>
      </c>
      <c r="D2144" s="46" t="s">
        <v>43</v>
      </c>
      <c r="E2144" s="46" t="s">
        <v>109</v>
      </c>
      <c r="F2144" s="50" t="s">
        <v>5049</v>
      </c>
      <c r="G2144" s="51" t="n">
        <v>994116363</v>
      </c>
      <c r="H2144" s="52" t="s">
        <v>5050</v>
      </c>
      <c r="I2144" s="52"/>
      <c r="J2144" s="1"/>
      <c r="K2144" s="1" t="s">
        <v>3372</v>
      </c>
      <c r="L2144" s="1"/>
      <c r="M2144" s="1"/>
      <c r="N2144" s="1"/>
      <c r="O2144" s="1"/>
      <c r="P2144" s="6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 customFormat="false" ht="21.75" hidden="false" customHeight="true" outlineLevel="0" collapsed="false">
      <c r="A2145" s="4" t="n">
        <v>43495</v>
      </c>
      <c r="B2145" s="53" t="s">
        <v>48</v>
      </c>
      <c r="C2145" s="46" t="s">
        <v>15</v>
      </c>
      <c r="D2145" s="46" t="s">
        <v>43</v>
      </c>
      <c r="E2145" s="46" t="s">
        <v>44</v>
      </c>
      <c r="F2145" s="50" t="s">
        <v>5051</v>
      </c>
      <c r="G2145" s="51" t="n">
        <v>996407044</v>
      </c>
      <c r="H2145" s="52" t="s">
        <v>5052</v>
      </c>
      <c r="I2145" s="52"/>
      <c r="J2145" s="1"/>
      <c r="K2145" s="1" t="s">
        <v>5053</v>
      </c>
      <c r="L2145" s="1"/>
      <c r="M2145" s="1"/>
      <c r="N2145" s="1"/>
      <c r="O2145" s="1"/>
      <c r="P2145" s="6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 customFormat="false" ht="21.75" hidden="false" customHeight="true" outlineLevel="0" collapsed="false">
      <c r="A2146" s="4" t="n">
        <v>43495</v>
      </c>
      <c r="B2146" s="53" t="s">
        <v>532</v>
      </c>
      <c r="C2146" s="46" t="s">
        <v>15</v>
      </c>
      <c r="D2146" s="46" t="s">
        <v>43</v>
      </c>
      <c r="E2146" s="46" t="s">
        <v>109</v>
      </c>
      <c r="F2146" s="50" t="s">
        <v>5054</v>
      </c>
      <c r="G2146" s="51" t="n">
        <v>987362559</v>
      </c>
      <c r="H2146" s="52" t="s">
        <v>5055</v>
      </c>
      <c r="I2146" s="52"/>
      <c r="J2146" s="1"/>
      <c r="K2146" s="1" t="s">
        <v>5056</v>
      </c>
      <c r="L2146" s="1"/>
      <c r="M2146" s="1"/>
      <c r="N2146" s="1"/>
      <c r="O2146" s="1"/>
      <c r="P2146" s="6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 customFormat="false" ht="21.75" hidden="false" customHeight="true" outlineLevel="0" collapsed="false">
      <c r="A2147" s="4" t="n">
        <v>43495</v>
      </c>
      <c r="B2147" s="53" t="s">
        <v>532</v>
      </c>
      <c r="C2147" s="46" t="s">
        <v>15</v>
      </c>
      <c r="D2147" s="46" t="s">
        <v>43</v>
      </c>
      <c r="E2147" s="46" t="s">
        <v>109</v>
      </c>
      <c r="F2147" s="50" t="s">
        <v>632</v>
      </c>
      <c r="G2147" s="51" t="n">
        <v>986345514</v>
      </c>
      <c r="H2147" s="52" t="s">
        <v>633</v>
      </c>
      <c r="I2147" s="52"/>
      <c r="J2147" s="1"/>
      <c r="K2147" s="1" t="s">
        <v>3372</v>
      </c>
      <c r="L2147" s="1"/>
      <c r="M2147" s="1"/>
      <c r="N2147" s="1"/>
      <c r="O2147" s="1"/>
      <c r="P2147" s="6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 customFormat="false" ht="21.75" hidden="false" customHeight="true" outlineLevel="0" collapsed="false">
      <c r="A2148" s="4" t="n">
        <v>43495</v>
      </c>
      <c r="B2148" s="53" t="s">
        <v>48</v>
      </c>
      <c r="C2148" s="46" t="s">
        <v>15</v>
      </c>
      <c r="D2148" s="46" t="s">
        <v>43</v>
      </c>
      <c r="E2148" s="46" t="s">
        <v>883</v>
      </c>
      <c r="F2148" s="50" t="s">
        <v>5057</v>
      </c>
      <c r="G2148" s="53"/>
      <c r="H2148" s="52" t="s">
        <v>5058</v>
      </c>
      <c r="I2148" s="52"/>
      <c r="J2148" s="1"/>
      <c r="K2148" s="1" t="s">
        <v>3390</v>
      </c>
      <c r="L2148" s="1"/>
      <c r="M2148" s="1"/>
      <c r="N2148" s="1"/>
      <c r="O2148" s="1"/>
      <c r="P2148" s="6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 customFormat="false" ht="21.75" hidden="false" customHeight="true" outlineLevel="0" collapsed="false">
      <c r="A2149" s="4" t="n">
        <v>43495</v>
      </c>
      <c r="B2149" s="61" t="s">
        <v>14</v>
      </c>
      <c r="C2149" s="46" t="s">
        <v>15</v>
      </c>
      <c r="D2149" s="46" t="s">
        <v>16</v>
      </c>
      <c r="E2149" s="46" t="s">
        <v>17</v>
      </c>
      <c r="F2149" s="50" t="s">
        <v>5059</v>
      </c>
      <c r="G2149" s="51" t="n">
        <v>979985455</v>
      </c>
      <c r="H2149" s="52" t="s">
        <v>5060</v>
      </c>
      <c r="I2149" s="52"/>
      <c r="J2149" s="1"/>
      <c r="K2149" s="1" t="s">
        <v>1072</v>
      </c>
      <c r="L2149" s="1" t="s">
        <v>3372</v>
      </c>
      <c r="M2149" s="1"/>
      <c r="N2149" s="1"/>
      <c r="O2149" s="1"/>
      <c r="P2149" s="6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 customFormat="false" ht="21.75" hidden="false" customHeight="true" outlineLevel="0" collapsed="false">
      <c r="A2150" s="4" t="n">
        <v>43495</v>
      </c>
      <c r="B2150" s="61" t="s">
        <v>48</v>
      </c>
      <c r="C2150" s="46" t="s">
        <v>15</v>
      </c>
      <c r="D2150" s="46" t="s">
        <v>43</v>
      </c>
      <c r="E2150" s="46" t="s">
        <v>109</v>
      </c>
      <c r="F2150" s="50" t="s">
        <v>5061</v>
      </c>
      <c r="G2150" s="51" t="n">
        <v>991913842</v>
      </c>
      <c r="H2150" s="52" t="s">
        <v>5062</v>
      </c>
      <c r="I2150" s="52"/>
      <c r="J2150" s="1"/>
      <c r="K2150" s="1" t="s">
        <v>5063</v>
      </c>
      <c r="L2150" s="1"/>
      <c r="M2150" s="1"/>
      <c r="N2150" s="1"/>
      <c r="O2150" s="1"/>
      <c r="P2150" s="6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 customFormat="false" ht="21.75" hidden="false" customHeight="true" outlineLevel="0" collapsed="false">
      <c r="A2151" s="4" t="n">
        <v>43495</v>
      </c>
      <c r="B2151" s="61" t="s">
        <v>48</v>
      </c>
      <c r="C2151" s="46" t="s">
        <v>15</v>
      </c>
      <c r="D2151" s="46" t="s">
        <v>43</v>
      </c>
      <c r="E2151" s="46" t="s">
        <v>109</v>
      </c>
      <c r="F2151" s="50" t="s">
        <v>5064</v>
      </c>
      <c r="G2151" s="51" t="n">
        <v>996227200</v>
      </c>
      <c r="H2151" s="52" t="s">
        <v>5065</v>
      </c>
      <c r="I2151" s="52"/>
      <c r="J2151" s="1"/>
      <c r="K2151" s="1" t="s">
        <v>21</v>
      </c>
      <c r="L2151" s="1"/>
      <c r="M2151" s="1"/>
      <c r="N2151" s="1"/>
      <c r="O2151" s="1"/>
      <c r="P2151" s="6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 customFormat="false" ht="21.75" hidden="false" customHeight="true" outlineLevel="0" collapsed="false">
      <c r="A2152" s="4" t="n">
        <v>43495</v>
      </c>
      <c r="B2152" s="61" t="s">
        <v>415</v>
      </c>
      <c r="C2152" s="46" t="s">
        <v>15</v>
      </c>
      <c r="D2152" s="46" t="s">
        <v>43</v>
      </c>
      <c r="E2152" s="46" t="s">
        <v>109</v>
      </c>
      <c r="F2152" s="50" t="s">
        <v>5066</v>
      </c>
      <c r="G2152" s="51" t="n">
        <v>981597991</v>
      </c>
      <c r="H2152" s="52" t="s">
        <v>5067</v>
      </c>
      <c r="I2152" s="52"/>
      <c r="J2152" s="1"/>
      <c r="K2152" s="1" t="s">
        <v>21</v>
      </c>
      <c r="L2152" s="1"/>
      <c r="M2152" s="1"/>
      <c r="N2152" s="1"/>
      <c r="O2152" s="1"/>
      <c r="P2152" s="6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 customFormat="false" ht="21.75" hidden="false" customHeight="true" outlineLevel="0" collapsed="false">
      <c r="A2153" s="4" t="n">
        <v>43495</v>
      </c>
      <c r="B2153" s="61" t="s">
        <v>415</v>
      </c>
      <c r="C2153" s="46" t="s">
        <v>15</v>
      </c>
      <c r="D2153" s="46" t="s">
        <v>43</v>
      </c>
      <c r="E2153" s="46" t="s">
        <v>109</v>
      </c>
      <c r="F2153" s="50" t="s">
        <v>5068</v>
      </c>
      <c r="G2153" s="53"/>
      <c r="H2153" s="52" t="s">
        <v>5069</v>
      </c>
      <c r="I2153" s="52"/>
      <c r="J2153" s="1"/>
      <c r="K2153" s="1" t="s">
        <v>5070</v>
      </c>
      <c r="L2153" s="1"/>
      <c r="M2153" s="1"/>
      <c r="N2153" s="1"/>
      <c r="O2153" s="1"/>
      <c r="P2153" s="6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 customFormat="false" ht="21.75" hidden="false" customHeight="true" outlineLevel="0" collapsed="false">
      <c r="A2154" s="4" t="n">
        <v>43495</v>
      </c>
      <c r="B2154" s="61" t="s">
        <v>48</v>
      </c>
      <c r="C2154" s="46" t="s">
        <v>15</v>
      </c>
      <c r="D2154" s="46" t="s">
        <v>43</v>
      </c>
      <c r="E2154" s="46" t="s">
        <v>109</v>
      </c>
      <c r="F2154" s="50" t="s">
        <v>5071</v>
      </c>
      <c r="G2154" s="51" t="n">
        <v>968539281</v>
      </c>
      <c r="H2154" s="53"/>
      <c r="I2154" s="53"/>
      <c r="J2154" s="1"/>
      <c r="K2154" s="1" t="s">
        <v>1864</v>
      </c>
      <c r="L2154" s="1"/>
      <c r="M2154" s="1"/>
      <c r="N2154" s="1"/>
      <c r="O2154" s="1"/>
      <c r="P2154" s="6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 customFormat="false" ht="21.75" hidden="false" customHeight="true" outlineLevel="0" collapsed="false">
      <c r="A2155" s="4" t="n">
        <v>43496</v>
      </c>
      <c r="B2155" s="46" t="s">
        <v>48</v>
      </c>
      <c r="C2155" s="46" t="s">
        <v>15</v>
      </c>
      <c r="D2155" s="46" t="s">
        <v>43</v>
      </c>
      <c r="E2155" s="46" t="s">
        <v>883</v>
      </c>
      <c r="F2155" s="46" t="s">
        <v>5072</v>
      </c>
      <c r="G2155" s="46" t="n">
        <f aca="false">+593988568482</f>
        <v>593988568482</v>
      </c>
      <c r="H2155" s="46" t="s">
        <v>5073</v>
      </c>
      <c r="I2155" s="46"/>
      <c r="J2155" s="1"/>
      <c r="K2155" s="1" t="s">
        <v>21</v>
      </c>
      <c r="L2155" s="1"/>
      <c r="M2155" s="1"/>
      <c r="N2155" s="1"/>
      <c r="O2155" s="1"/>
      <c r="P2155" s="6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 customFormat="false" ht="21.75" hidden="false" customHeight="true" outlineLevel="0" collapsed="false">
      <c r="A2156" s="4" t="n">
        <v>43496</v>
      </c>
      <c r="B2156" s="46" t="s">
        <v>1114</v>
      </c>
      <c r="C2156" s="46" t="s">
        <v>15</v>
      </c>
      <c r="D2156" s="46" t="s">
        <v>43</v>
      </c>
      <c r="E2156" s="46" t="s">
        <v>883</v>
      </c>
      <c r="F2156" s="46" t="s">
        <v>5074</v>
      </c>
      <c r="G2156" s="46" t="n">
        <f aca="false">+5930979869649</f>
        <v>5930979869649</v>
      </c>
      <c r="H2156" s="46" t="s">
        <v>5075</v>
      </c>
      <c r="I2156" s="46"/>
      <c r="J2156" s="1"/>
      <c r="K2156" s="1" t="s">
        <v>5076</v>
      </c>
      <c r="L2156" s="1"/>
      <c r="M2156" s="1"/>
      <c r="N2156" s="1"/>
      <c r="O2156" s="1"/>
      <c r="P2156" s="6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 customFormat="false" ht="21.75" hidden="false" customHeight="true" outlineLevel="0" collapsed="false">
      <c r="A2157" s="4" t="n">
        <v>43496</v>
      </c>
      <c r="B2157" s="46" t="s">
        <v>352</v>
      </c>
      <c r="C2157" s="46" t="s">
        <v>15</v>
      </c>
      <c r="D2157" s="46" t="s">
        <v>43</v>
      </c>
      <c r="E2157" s="46" t="s">
        <v>883</v>
      </c>
      <c r="F2157" s="46" t="s">
        <v>5077</v>
      </c>
      <c r="G2157" s="46" t="n">
        <f aca="false">+593984873459</f>
        <v>593984873459</v>
      </c>
      <c r="H2157" s="46" t="s">
        <v>5078</v>
      </c>
      <c r="I2157" s="46"/>
      <c r="J2157" s="1"/>
      <c r="K2157" s="1" t="s">
        <v>5079</v>
      </c>
      <c r="L2157" s="1"/>
      <c r="M2157" s="1"/>
      <c r="N2157" s="1"/>
      <c r="O2157" s="1"/>
      <c r="P2157" s="6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 customFormat="false" ht="21.75" hidden="false" customHeight="true" outlineLevel="0" collapsed="false">
      <c r="A2158" s="4" t="n">
        <v>43496</v>
      </c>
      <c r="B2158" s="46" t="s">
        <v>352</v>
      </c>
      <c r="C2158" s="46" t="s">
        <v>15</v>
      </c>
      <c r="D2158" s="46" t="s">
        <v>43</v>
      </c>
      <c r="E2158" s="46" t="s">
        <v>883</v>
      </c>
      <c r="F2158" s="46" t="s">
        <v>5080</v>
      </c>
      <c r="G2158" s="46" t="n">
        <f aca="false">+593993562504</f>
        <v>593993562504</v>
      </c>
      <c r="H2158" s="46" t="s">
        <v>5081</v>
      </c>
      <c r="I2158" s="46"/>
      <c r="J2158" s="1"/>
      <c r="K2158" s="1" t="s">
        <v>21</v>
      </c>
      <c r="L2158" s="1"/>
      <c r="M2158" s="1"/>
      <c r="N2158" s="1"/>
      <c r="O2158" s="1"/>
      <c r="P2158" s="6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 customFormat="false" ht="21.75" hidden="false" customHeight="true" outlineLevel="0" collapsed="false">
      <c r="A2159" s="4" t="n">
        <v>43496</v>
      </c>
      <c r="B2159" s="46" t="s">
        <v>178</v>
      </c>
      <c r="C2159" s="46" t="s">
        <v>15</v>
      </c>
      <c r="D2159" s="46" t="s">
        <v>43</v>
      </c>
      <c r="E2159" s="46" t="s">
        <v>883</v>
      </c>
      <c r="F2159" s="46" t="s">
        <v>5082</v>
      </c>
      <c r="G2159" s="46" t="n">
        <f aca="false">+593996006840</f>
        <v>593996006840</v>
      </c>
      <c r="H2159" s="46" t="s">
        <v>5083</v>
      </c>
      <c r="I2159" s="46"/>
      <c r="J2159" s="1"/>
      <c r="K2159" s="1" t="s">
        <v>21</v>
      </c>
      <c r="L2159" s="1"/>
      <c r="M2159" s="1"/>
      <c r="N2159" s="1"/>
      <c r="O2159" s="1"/>
      <c r="P2159" s="6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 customFormat="false" ht="21.75" hidden="false" customHeight="true" outlineLevel="0" collapsed="false">
      <c r="A2160" s="4" t="n">
        <v>43496</v>
      </c>
      <c r="B2160" s="46" t="s">
        <v>352</v>
      </c>
      <c r="C2160" s="46" t="s">
        <v>15</v>
      </c>
      <c r="D2160" s="46" t="s">
        <v>43</v>
      </c>
      <c r="E2160" s="46" t="s">
        <v>883</v>
      </c>
      <c r="F2160" s="46" t="s">
        <v>5084</v>
      </c>
      <c r="G2160" s="46" t="n">
        <f aca="false">+5930983374186</f>
        <v>5930983374186</v>
      </c>
      <c r="H2160" s="46" t="s">
        <v>5085</v>
      </c>
      <c r="I2160" s="46"/>
      <c r="J2160" s="1"/>
      <c r="K2160" s="1" t="s">
        <v>5086</v>
      </c>
      <c r="L2160" s="1"/>
      <c r="M2160" s="1"/>
      <c r="N2160" s="1"/>
      <c r="O2160" s="1"/>
      <c r="P2160" s="6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 customFormat="false" ht="21.75" hidden="false" customHeight="true" outlineLevel="0" collapsed="false">
      <c r="A2161" s="4" t="n">
        <v>43496</v>
      </c>
      <c r="B2161" s="46" t="s">
        <v>48</v>
      </c>
      <c r="C2161" s="46" t="s">
        <v>15</v>
      </c>
      <c r="D2161" s="46" t="s">
        <v>43</v>
      </c>
      <c r="E2161" s="46" t="s">
        <v>883</v>
      </c>
      <c r="F2161" s="46" t="s">
        <v>5087</v>
      </c>
      <c r="G2161" s="46" t="n">
        <f aca="false">+5930968048153</f>
        <v>5930968048153</v>
      </c>
      <c r="H2161" s="46" t="s">
        <v>5088</v>
      </c>
      <c r="I2161" s="46"/>
      <c r="J2161" s="1"/>
      <c r="K2161" s="1" t="s">
        <v>21</v>
      </c>
      <c r="L2161" s="1"/>
      <c r="M2161" s="1"/>
      <c r="N2161" s="1"/>
      <c r="O2161" s="1"/>
      <c r="P2161" s="6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  <row r="2162" customFormat="false" ht="21.75" hidden="false" customHeight="true" outlineLevel="0" collapsed="false">
      <c r="A2162" s="4" t="n">
        <v>43496</v>
      </c>
      <c r="B2162" s="46" t="s">
        <v>48</v>
      </c>
      <c r="C2162" s="46" t="s">
        <v>15</v>
      </c>
      <c r="D2162" s="46" t="s">
        <v>43</v>
      </c>
      <c r="E2162" s="46" t="s">
        <v>883</v>
      </c>
      <c r="F2162" s="46" t="s">
        <v>5089</v>
      </c>
      <c r="G2162" s="46" t="n">
        <f aca="false">+593997661757</f>
        <v>593997661757</v>
      </c>
      <c r="H2162" s="46" t="s">
        <v>5090</v>
      </c>
      <c r="I2162" s="46"/>
      <c r="J2162" s="1"/>
      <c r="K2162" s="1" t="s">
        <v>21</v>
      </c>
      <c r="L2162" s="1"/>
      <c r="M2162" s="1"/>
      <c r="N2162" s="1"/>
      <c r="O2162" s="1"/>
      <c r="P2162" s="6"/>
      <c r="Q2162" s="1"/>
      <c r="R2162" s="1"/>
      <c r="S2162" s="1"/>
      <c r="T2162" s="1"/>
      <c r="U2162" s="1"/>
      <c r="V2162" s="1"/>
      <c r="W2162" s="1"/>
      <c r="X2162" s="1"/>
      <c r="Y2162" s="1"/>
      <c r="Z2162" s="1"/>
    </row>
    <row r="2163" customFormat="false" ht="21.75" hidden="false" customHeight="true" outlineLevel="0" collapsed="false">
      <c r="A2163" s="4" t="n">
        <v>43496</v>
      </c>
      <c r="B2163" s="46" t="s">
        <v>48</v>
      </c>
      <c r="C2163" s="46" t="s">
        <v>15</v>
      </c>
      <c r="D2163" s="46" t="s">
        <v>43</v>
      </c>
      <c r="E2163" s="46" t="s">
        <v>883</v>
      </c>
      <c r="F2163" s="46" t="s">
        <v>5091</v>
      </c>
      <c r="G2163" s="46" t="n">
        <f aca="false">+593969454249</f>
        <v>593969454249</v>
      </c>
      <c r="H2163" s="46" t="s">
        <v>5092</v>
      </c>
      <c r="I2163" s="46"/>
      <c r="J2163" s="1"/>
      <c r="K2163" s="1" t="s">
        <v>21</v>
      </c>
      <c r="L2163" s="1"/>
      <c r="M2163" s="1"/>
      <c r="N2163" s="1"/>
      <c r="O2163" s="1"/>
      <c r="P2163" s="6"/>
      <c r="Q2163" s="1"/>
      <c r="R2163" s="1"/>
      <c r="S2163" s="1"/>
      <c r="T2163" s="1"/>
      <c r="U2163" s="1"/>
      <c r="V2163" s="1"/>
      <c r="W2163" s="1"/>
      <c r="X2163" s="1"/>
      <c r="Y2163" s="1"/>
      <c r="Z2163" s="1"/>
    </row>
    <row r="2164" customFormat="false" ht="21.75" hidden="false" customHeight="true" outlineLevel="0" collapsed="false">
      <c r="A2164" s="4" t="n">
        <v>43496</v>
      </c>
      <c r="B2164" s="46" t="s">
        <v>1114</v>
      </c>
      <c r="C2164" s="46" t="s">
        <v>15</v>
      </c>
      <c r="D2164" s="46" t="s">
        <v>43</v>
      </c>
      <c r="E2164" s="46" t="s">
        <v>883</v>
      </c>
      <c r="F2164" s="46" t="s">
        <v>5093</v>
      </c>
      <c r="G2164" s="46" t="n">
        <f aca="false">+5930988357178</f>
        <v>5930988357178</v>
      </c>
      <c r="H2164" s="46" t="s">
        <v>5094</v>
      </c>
      <c r="I2164" s="46"/>
      <c r="J2164" s="1"/>
      <c r="K2164" s="1" t="s">
        <v>21</v>
      </c>
      <c r="L2164" s="1"/>
      <c r="M2164" s="1"/>
      <c r="N2164" s="1"/>
      <c r="O2164" s="1"/>
      <c r="P2164" s="6"/>
      <c r="Q2164" s="1"/>
      <c r="R2164" s="1"/>
      <c r="S2164" s="1"/>
      <c r="T2164" s="1"/>
      <c r="U2164" s="1"/>
      <c r="V2164" s="1"/>
      <c r="W2164" s="1"/>
      <c r="X2164" s="1"/>
      <c r="Y2164" s="1"/>
      <c r="Z2164" s="1"/>
    </row>
    <row r="2165" customFormat="false" ht="21.75" hidden="false" customHeight="true" outlineLevel="0" collapsed="false">
      <c r="A2165" s="4" t="n">
        <v>43496</v>
      </c>
      <c r="B2165" s="46" t="s">
        <v>352</v>
      </c>
      <c r="C2165" s="46" t="s">
        <v>15</v>
      </c>
      <c r="D2165" s="46" t="s">
        <v>43</v>
      </c>
      <c r="E2165" s="46" t="s">
        <v>883</v>
      </c>
      <c r="F2165" s="46" t="s">
        <v>5095</v>
      </c>
      <c r="G2165" s="46" t="n">
        <f aca="false">+593967825848</f>
        <v>593967825848</v>
      </c>
      <c r="H2165" s="46" t="s">
        <v>5096</v>
      </c>
      <c r="I2165" s="46"/>
      <c r="J2165" s="1"/>
      <c r="K2165" s="1" t="s">
        <v>21</v>
      </c>
      <c r="L2165" s="1"/>
      <c r="M2165" s="1"/>
      <c r="N2165" s="1"/>
      <c r="O2165" s="1"/>
      <c r="P2165" s="6"/>
      <c r="Q2165" s="1"/>
      <c r="R2165" s="1"/>
      <c r="S2165" s="1"/>
      <c r="T2165" s="1"/>
      <c r="U2165" s="1"/>
      <c r="V2165" s="1"/>
      <c r="W2165" s="1"/>
      <c r="X2165" s="1"/>
      <c r="Y2165" s="1"/>
      <c r="Z2165" s="1"/>
    </row>
    <row r="2166" customFormat="false" ht="21.75" hidden="false" customHeight="true" outlineLevel="0" collapsed="false">
      <c r="A2166" s="4" t="n">
        <v>43496</v>
      </c>
      <c r="B2166" s="46" t="s">
        <v>352</v>
      </c>
      <c r="C2166" s="46" t="s">
        <v>26</v>
      </c>
      <c r="D2166" s="46" t="s">
        <v>43</v>
      </c>
      <c r="E2166" s="46" t="s">
        <v>883</v>
      </c>
      <c r="F2166" s="46" t="s">
        <v>5097</v>
      </c>
      <c r="G2166" s="46" t="n">
        <f aca="false">+593993863804</f>
        <v>593993863804</v>
      </c>
      <c r="H2166" s="46" t="s">
        <v>5098</v>
      </c>
      <c r="I2166" s="46"/>
      <c r="J2166" s="1"/>
      <c r="K2166" s="1" t="s">
        <v>21</v>
      </c>
      <c r="L2166" s="1"/>
      <c r="M2166" s="1"/>
      <c r="N2166" s="1"/>
      <c r="O2166" s="1"/>
      <c r="P2166" s="6"/>
      <c r="Q2166" s="1"/>
      <c r="R2166" s="1"/>
      <c r="S2166" s="1"/>
      <c r="T2166" s="1"/>
      <c r="U2166" s="1"/>
      <c r="V2166" s="1"/>
      <c r="W2166" s="1"/>
      <c r="X2166" s="1"/>
      <c r="Y2166" s="1"/>
      <c r="Z2166" s="1"/>
    </row>
    <row r="2167" customFormat="false" ht="21.75" hidden="false" customHeight="true" outlineLevel="0" collapsed="false">
      <c r="A2167" s="4" t="n">
        <v>43496</v>
      </c>
      <c r="B2167" s="46" t="s">
        <v>48</v>
      </c>
      <c r="C2167" s="46" t="s">
        <v>26</v>
      </c>
      <c r="D2167" s="46" t="s">
        <v>43</v>
      </c>
      <c r="E2167" s="46" t="s">
        <v>883</v>
      </c>
      <c r="F2167" s="46" t="s">
        <v>5099</v>
      </c>
      <c r="G2167" s="46" t="n">
        <f aca="false">+593991353338</f>
        <v>593991353338</v>
      </c>
      <c r="H2167" s="46" t="s">
        <v>5100</v>
      </c>
      <c r="I2167" s="46"/>
      <c r="J2167" s="1"/>
      <c r="K2167" s="1" t="s">
        <v>21</v>
      </c>
      <c r="L2167" s="1"/>
      <c r="M2167" s="1"/>
      <c r="N2167" s="1"/>
      <c r="O2167" s="1"/>
      <c r="P2167" s="6"/>
      <c r="Q2167" s="1"/>
      <c r="R2167" s="1"/>
      <c r="S2167" s="1"/>
      <c r="T2167" s="1"/>
      <c r="U2167" s="1"/>
      <c r="V2167" s="1"/>
      <c r="W2167" s="1"/>
      <c r="X2167" s="1"/>
      <c r="Y2167" s="1"/>
      <c r="Z2167" s="1"/>
    </row>
    <row r="2168" customFormat="false" ht="21.75" hidden="false" customHeight="true" outlineLevel="0" collapsed="false">
      <c r="A2168" s="4" t="n">
        <v>43496</v>
      </c>
      <c r="B2168" s="46" t="s">
        <v>1114</v>
      </c>
      <c r="C2168" s="46" t="s">
        <v>15</v>
      </c>
      <c r="D2168" s="46" t="s">
        <v>43</v>
      </c>
      <c r="E2168" s="46" t="s">
        <v>883</v>
      </c>
      <c r="F2168" s="46" t="s">
        <v>5101</v>
      </c>
      <c r="G2168" s="46" t="n">
        <f aca="false">+5930991400005</f>
        <v>5930991400005</v>
      </c>
      <c r="H2168" s="46" t="s">
        <v>5102</v>
      </c>
      <c r="I2168" s="46"/>
      <c r="J2168" s="1"/>
      <c r="K2168" s="1" t="s">
        <v>21</v>
      </c>
      <c r="L2168" s="1"/>
      <c r="M2168" s="1"/>
      <c r="N2168" s="1"/>
      <c r="O2168" s="1"/>
      <c r="P2168" s="6"/>
      <c r="Q2168" s="1"/>
      <c r="R2168" s="1"/>
      <c r="S2168" s="1"/>
      <c r="T2168" s="1"/>
      <c r="U2168" s="1"/>
      <c r="V2168" s="1"/>
      <c r="W2168" s="1"/>
      <c r="X2168" s="1"/>
      <c r="Y2168" s="1"/>
      <c r="Z2168" s="1"/>
    </row>
    <row r="2169" customFormat="false" ht="21.75" hidden="false" customHeight="true" outlineLevel="0" collapsed="false">
      <c r="A2169" s="4" t="n">
        <v>43496</v>
      </c>
      <c r="B2169" s="46" t="s">
        <v>1114</v>
      </c>
      <c r="C2169" s="46" t="s">
        <v>15</v>
      </c>
      <c r="D2169" s="46" t="s">
        <v>43</v>
      </c>
      <c r="E2169" s="46" t="s">
        <v>883</v>
      </c>
      <c r="F2169" s="46" t="s">
        <v>5103</v>
      </c>
      <c r="G2169" s="46" t="n">
        <f aca="false">+5930959152924</f>
        <v>5930959152924</v>
      </c>
      <c r="H2169" s="46" t="s">
        <v>5104</v>
      </c>
      <c r="I2169" s="46"/>
      <c r="J2169" s="1"/>
      <c r="K2169" s="1" t="s">
        <v>21</v>
      </c>
      <c r="L2169" s="1"/>
      <c r="M2169" s="1"/>
      <c r="N2169" s="1"/>
      <c r="O2169" s="1"/>
      <c r="P2169" s="6"/>
      <c r="Q2169" s="1"/>
      <c r="R2169" s="1"/>
      <c r="S2169" s="1"/>
      <c r="T2169" s="1"/>
      <c r="U2169" s="1"/>
      <c r="V2169" s="1"/>
      <c r="W2169" s="1"/>
      <c r="X2169" s="1"/>
      <c r="Y2169" s="1"/>
      <c r="Z2169" s="1"/>
    </row>
    <row r="2170" customFormat="false" ht="21.75" hidden="false" customHeight="true" outlineLevel="0" collapsed="false">
      <c r="A2170" s="4" t="n">
        <v>43496</v>
      </c>
      <c r="B2170" s="46" t="s">
        <v>48</v>
      </c>
      <c r="C2170" s="46" t="s">
        <v>15</v>
      </c>
      <c r="D2170" s="46" t="s">
        <v>43</v>
      </c>
      <c r="E2170" s="46" t="s">
        <v>883</v>
      </c>
      <c r="F2170" s="46" t="s">
        <v>5105</v>
      </c>
      <c r="G2170" s="46" t="n">
        <f aca="false">+593939411797</f>
        <v>593939411797</v>
      </c>
      <c r="H2170" s="46" t="s">
        <v>5106</v>
      </c>
      <c r="I2170" s="46"/>
      <c r="J2170" s="1"/>
      <c r="K2170" s="1" t="s">
        <v>5107</v>
      </c>
      <c r="L2170" s="1"/>
      <c r="M2170" s="1"/>
      <c r="N2170" s="1"/>
      <c r="O2170" s="1"/>
      <c r="P2170" s="6"/>
      <c r="Q2170" s="1"/>
      <c r="R2170" s="1"/>
      <c r="S2170" s="1"/>
      <c r="T2170" s="1"/>
      <c r="U2170" s="1"/>
      <c r="V2170" s="1"/>
      <c r="W2170" s="1"/>
      <c r="X2170" s="1"/>
      <c r="Y2170" s="1"/>
      <c r="Z2170" s="1"/>
    </row>
    <row r="2171" customFormat="false" ht="21.75" hidden="false" customHeight="true" outlineLevel="0" collapsed="false">
      <c r="A2171" s="4" t="n">
        <v>43496</v>
      </c>
      <c r="B2171" s="46" t="s">
        <v>127</v>
      </c>
      <c r="C2171" s="46" t="s">
        <v>15</v>
      </c>
      <c r="D2171" s="46" t="s">
        <v>43</v>
      </c>
      <c r="E2171" s="46" t="s">
        <v>883</v>
      </c>
      <c r="F2171" s="46" t="s">
        <v>5108</v>
      </c>
      <c r="G2171" s="46" t="n">
        <f aca="false">+5930985740146</f>
        <v>5930985740146</v>
      </c>
      <c r="H2171" s="46" t="s">
        <v>5109</v>
      </c>
      <c r="I2171" s="46"/>
      <c r="J2171" s="1"/>
      <c r="K2171" s="1" t="s">
        <v>3372</v>
      </c>
      <c r="L2171" s="1"/>
      <c r="M2171" s="1"/>
      <c r="N2171" s="1"/>
      <c r="O2171" s="1"/>
      <c r="P2171" s="6"/>
      <c r="Q2171" s="1"/>
      <c r="R2171" s="1"/>
      <c r="S2171" s="1"/>
      <c r="T2171" s="1"/>
      <c r="U2171" s="1"/>
      <c r="V2171" s="1"/>
      <c r="W2171" s="1"/>
      <c r="X2171" s="1"/>
      <c r="Y2171" s="1"/>
      <c r="Z2171" s="1"/>
    </row>
    <row r="2172" customFormat="false" ht="21.75" hidden="false" customHeight="true" outlineLevel="0" collapsed="false">
      <c r="A2172" s="4" t="n">
        <v>43496</v>
      </c>
      <c r="B2172" s="46" t="s">
        <v>352</v>
      </c>
      <c r="C2172" s="46" t="s">
        <v>15</v>
      </c>
      <c r="D2172" s="46" t="s">
        <v>43</v>
      </c>
      <c r="E2172" s="46" t="s">
        <v>883</v>
      </c>
      <c r="F2172" s="46" t="s">
        <v>5110</v>
      </c>
      <c r="G2172" s="46" t="n">
        <f aca="false">+5930990811808</f>
        <v>5930990811808</v>
      </c>
      <c r="H2172" s="46" t="s">
        <v>5111</v>
      </c>
      <c r="I2172" s="46"/>
      <c r="J2172" s="1"/>
      <c r="K2172" s="1" t="s">
        <v>3372</v>
      </c>
      <c r="L2172" s="1"/>
      <c r="M2172" s="1"/>
      <c r="N2172" s="1"/>
      <c r="O2172" s="1"/>
      <c r="P2172" s="6"/>
      <c r="Q2172" s="1"/>
      <c r="R2172" s="1"/>
      <c r="S2172" s="1"/>
      <c r="T2172" s="1"/>
      <c r="U2172" s="1"/>
      <c r="V2172" s="1"/>
      <c r="W2172" s="1"/>
      <c r="X2172" s="1"/>
      <c r="Y2172" s="1"/>
      <c r="Z2172" s="1"/>
    </row>
    <row r="2173" customFormat="false" ht="21.75" hidden="false" customHeight="true" outlineLevel="0" collapsed="false">
      <c r="A2173" s="4" t="n">
        <v>43496</v>
      </c>
      <c r="B2173" s="46" t="s">
        <v>415</v>
      </c>
      <c r="C2173" s="46" t="s">
        <v>15</v>
      </c>
      <c r="D2173" s="46" t="s">
        <v>43</v>
      </c>
      <c r="E2173" s="46" t="s">
        <v>883</v>
      </c>
      <c r="F2173" s="46" t="s">
        <v>5112</v>
      </c>
      <c r="G2173" s="46" t="n">
        <f aca="false">+593995324688</f>
        <v>593995324688</v>
      </c>
      <c r="H2173" s="46" t="s">
        <v>5113</v>
      </c>
      <c r="I2173" s="46"/>
      <c r="J2173" s="1"/>
      <c r="K2173" s="1" t="s">
        <v>3372</v>
      </c>
      <c r="L2173" s="1"/>
      <c r="M2173" s="1"/>
      <c r="N2173" s="1"/>
      <c r="O2173" s="1"/>
      <c r="P2173" s="6"/>
      <c r="Q2173" s="1"/>
      <c r="R2173" s="1"/>
      <c r="S2173" s="1"/>
      <c r="T2173" s="1"/>
      <c r="U2173" s="1"/>
      <c r="V2173" s="1"/>
      <c r="W2173" s="1"/>
      <c r="X2173" s="1"/>
      <c r="Y2173" s="1"/>
      <c r="Z2173" s="1"/>
    </row>
    <row r="2174" customFormat="false" ht="21.75" hidden="false" customHeight="true" outlineLevel="0" collapsed="false">
      <c r="A2174" s="4" t="n">
        <v>43496</v>
      </c>
      <c r="B2174" s="46" t="s">
        <v>415</v>
      </c>
      <c r="C2174" s="46" t="s">
        <v>15</v>
      </c>
      <c r="D2174" s="46" t="s">
        <v>43</v>
      </c>
      <c r="E2174" s="46" t="s">
        <v>883</v>
      </c>
      <c r="F2174" s="46" t="s">
        <v>5114</v>
      </c>
      <c r="G2174" s="46" t="n">
        <f aca="false">+593993675351</f>
        <v>593993675351</v>
      </c>
      <c r="H2174" s="46" t="s">
        <v>5115</v>
      </c>
      <c r="I2174" s="46"/>
      <c r="J2174" s="1"/>
      <c r="K2174" s="1" t="s">
        <v>3372</v>
      </c>
      <c r="L2174" s="1"/>
      <c r="M2174" s="1"/>
      <c r="N2174" s="1"/>
      <c r="O2174" s="1"/>
      <c r="P2174" s="6"/>
      <c r="Q2174" s="1"/>
      <c r="R2174" s="1"/>
      <c r="S2174" s="1"/>
      <c r="T2174" s="1"/>
      <c r="U2174" s="1"/>
      <c r="V2174" s="1"/>
      <c r="W2174" s="1"/>
      <c r="X2174" s="1"/>
      <c r="Y2174" s="1"/>
      <c r="Z2174" s="1"/>
    </row>
    <row r="2175" customFormat="false" ht="21.75" hidden="false" customHeight="true" outlineLevel="0" collapsed="false">
      <c r="A2175" s="4" t="n">
        <v>43496</v>
      </c>
      <c r="B2175" s="46" t="s">
        <v>178</v>
      </c>
      <c r="C2175" s="46" t="s">
        <v>15</v>
      </c>
      <c r="D2175" s="46" t="s">
        <v>43</v>
      </c>
      <c r="E2175" s="46" t="s">
        <v>109</v>
      </c>
      <c r="F2175" s="46" t="s">
        <v>5116</v>
      </c>
      <c r="G2175" s="46" t="n">
        <f aca="false">+593999106043</f>
        <v>593999106043</v>
      </c>
      <c r="H2175" s="46" t="s">
        <v>5117</v>
      </c>
      <c r="I2175" s="46"/>
      <c r="J2175" s="46"/>
      <c r="K2175" s="1" t="s">
        <v>3372</v>
      </c>
      <c r="L2175" s="1"/>
      <c r="M2175" s="1"/>
      <c r="N2175" s="1"/>
      <c r="O2175" s="1"/>
      <c r="P2175" s="6"/>
      <c r="Q2175" s="1"/>
      <c r="R2175" s="1"/>
      <c r="S2175" s="1"/>
      <c r="T2175" s="1"/>
      <c r="U2175" s="1"/>
      <c r="V2175" s="1"/>
      <c r="W2175" s="1"/>
      <c r="X2175" s="1"/>
      <c r="Y2175" s="1"/>
      <c r="Z2175" s="1"/>
    </row>
    <row r="2176" customFormat="false" ht="21.75" hidden="false" customHeight="true" outlineLevel="0" collapsed="false">
      <c r="A2176" s="4" t="n">
        <v>43496</v>
      </c>
      <c r="B2176" s="46" t="s">
        <v>127</v>
      </c>
      <c r="C2176" s="46" t="s">
        <v>15</v>
      </c>
      <c r="D2176" s="46" t="s">
        <v>43</v>
      </c>
      <c r="E2176" s="46" t="s">
        <v>109</v>
      </c>
      <c r="F2176" s="46" t="s">
        <v>5118</v>
      </c>
      <c r="G2176" s="46" t="n">
        <f aca="false">+593989331074</f>
        <v>593989331074</v>
      </c>
      <c r="H2176" s="46" t="s">
        <v>5119</v>
      </c>
      <c r="I2176" s="46"/>
      <c r="J2176" s="46"/>
      <c r="K2176" s="1" t="s">
        <v>3372</v>
      </c>
      <c r="L2176" s="1"/>
      <c r="M2176" s="1"/>
      <c r="N2176" s="1"/>
      <c r="O2176" s="1"/>
      <c r="P2176" s="6"/>
      <c r="Q2176" s="1"/>
      <c r="R2176" s="1"/>
      <c r="S2176" s="1"/>
      <c r="T2176" s="1"/>
      <c r="U2176" s="1"/>
      <c r="V2176" s="1"/>
      <c r="W2176" s="1"/>
      <c r="X2176" s="1"/>
      <c r="Y2176" s="1"/>
      <c r="Z2176" s="1"/>
    </row>
    <row r="2177" customFormat="false" ht="21.75" hidden="false" customHeight="true" outlineLevel="0" collapsed="false">
      <c r="A2177" s="4" t="n">
        <v>43496</v>
      </c>
      <c r="B2177" s="46" t="s">
        <v>1114</v>
      </c>
      <c r="C2177" s="46" t="s">
        <v>15</v>
      </c>
      <c r="D2177" s="46" t="s">
        <v>43</v>
      </c>
      <c r="E2177" s="46" t="s">
        <v>109</v>
      </c>
      <c r="F2177" s="46" t="s">
        <v>5120</v>
      </c>
      <c r="G2177" s="46" t="n">
        <f aca="false">+5930995660296</f>
        <v>5930995660296</v>
      </c>
      <c r="H2177" s="46" t="s">
        <v>5121</v>
      </c>
      <c r="I2177" s="46"/>
      <c r="J2177" s="46"/>
      <c r="K2177" s="1" t="s">
        <v>3372</v>
      </c>
      <c r="L2177" s="1"/>
      <c r="M2177" s="1"/>
      <c r="N2177" s="1"/>
      <c r="O2177" s="1"/>
      <c r="P2177" s="6"/>
      <c r="Q2177" s="1"/>
      <c r="R2177" s="1"/>
      <c r="S2177" s="1"/>
      <c r="T2177" s="1"/>
      <c r="U2177" s="1"/>
      <c r="V2177" s="1"/>
      <c r="W2177" s="1"/>
      <c r="X2177" s="1"/>
      <c r="Y2177" s="1"/>
      <c r="Z2177" s="1"/>
    </row>
    <row r="2178" customFormat="false" ht="21.75" hidden="false" customHeight="true" outlineLevel="0" collapsed="false">
      <c r="A2178" s="4" t="n">
        <v>43496</v>
      </c>
      <c r="B2178" s="46" t="s">
        <v>81</v>
      </c>
      <c r="C2178" s="46" t="s">
        <v>15</v>
      </c>
      <c r="D2178" s="46" t="s">
        <v>43</v>
      </c>
      <c r="E2178" s="46" t="s">
        <v>109</v>
      </c>
      <c r="F2178" s="46" t="s">
        <v>5122</v>
      </c>
      <c r="G2178" s="46" t="n">
        <f aca="false">+593961583348</f>
        <v>593961583348</v>
      </c>
      <c r="H2178" s="46" t="s">
        <v>5123</v>
      </c>
      <c r="I2178" s="46"/>
      <c r="J2178" s="46"/>
      <c r="K2178" s="1" t="s">
        <v>3372</v>
      </c>
      <c r="L2178" s="1"/>
      <c r="M2178" s="1"/>
      <c r="N2178" s="1"/>
      <c r="O2178" s="1"/>
      <c r="P2178" s="6"/>
      <c r="Q2178" s="1"/>
      <c r="R2178" s="1"/>
      <c r="S2178" s="1"/>
      <c r="T2178" s="1"/>
      <c r="U2178" s="1"/>
      <c r="V2178" s="1"/>
      <c r="W2178" s="1"/>
      <c r="X2178" s="1"/>
      <c r="Y2178" s="1"/>
      <c r="Z2178" s="1"/>
    </row>
    <row r="2179" customFormat="false" ht="21.75" hidden="false" customHeight="true" outlineLevel="0" collapsed="false">
      <c r="A2179" s="4" t="n">
        <v>43496</v>
      </c>
      <c r="B2179" s="46" t="s">
        <v>1114</v>
      </c>
      <c r="C2179" s="46" t="s">
        <v>15</v>
      </c>
      <c r="D2179" s="46" t="s">
        <v>43</v>
      </c>
      <c r="E2179" s="46" t="s">
        <v>109</v>
      </c>
      <c r="F2179" s="46" t="s">
        <v>5124</v>
      </c>
      <c r="G2179" s="46" t="n">
        <f aca="false">+593990302194</f>
        <v>593990302194</v>
      </c>
      <c r="H2179" s="46" t="s">
        <v>5125</v>
      </c>
      <c r="I2179" s="46"/>
      <c r="J2179" s="46"/>
      <c r="K2179" s="1" t="s">
        <v>3372</v>
      </c>
      <c r="L2179" s="1"/>
      <c r="M2179" s="1"/>
      <c r="N2179" s="1"/>
      <c r="O2179" s="1"/>
      <c r="P2179" s="6"/>
      <c r="Q2179" s="1"/>
      <c r="R2179" s="1"/>
      <c r="S2179" s="1"/>
      <c r="T2179" s="1"/>
      <c r="U2179" s="1"/>
      <c r="V2179" s="1"/>
      <c r="W2179" s="1"/>
      <c r="X2179" s="1"/>
      <c r="Y2179" s="1"/>
      <c r="Z2179" s="1"/>
    </row>
    <row r="2180" customFormat="false" ht="21.75" hidden="false" customHeight="true" outlineLevel="0" collapsed="false">
      <c r="A2180" s="4" t="n">
        <v>43496</v>
      </c>
      <c r="B2180" s="46" t="s">
        <v>415</v>
      </c>
      <c r="C2180" s="46" t="s">
        <v>15</v>
      </c>
      <c r="D2180" s="46" t="s">
        <v>43</v>
      </c>
      <c r="E2180" s="46" t="s">
        <v>109</v>
      </c>
      <c r="F2180" s="46" t="s">
        <v>5126</v>
      </c>
      <c r="G2180" s="46" t="n">
        <f aca="false">+5930968156812</f>
        <v>5930968156812</v>
      </c>
      <c r="H2180" s="46" t="s">
        <v>5127</v>
      </c>
      <c r="I2180" s="46"/>
      <c r="J2180" s="46"/>
      <c r="K2180" s="1" t="s">
        <v>5128</v>
      </c>
      <c r="L2180" s="1"/>
      <c r="M2180" s="1"/>
      <c r="N2180" s="1"/>
      <c r="O2180" s="1"/>
      <c r="P2180" s="6"/>
      <c r="Q2180" s="1"/>
      <c r="R2180" s="1"/>
      <c r="S2180" s="1"/>
      <c r="T2180" s="1"/>
      <c r="U2180" s="1"/>
      <c r="V2180" s="1"/>
      <c r="W2180" s="1"/>
      <c r="X2180" s="1"/>
      <c r="Y2180" s="1"/>
      <c r="Z2180" s="1"/>
    </row>
    <row r="2181" customFormat="false" ht="21.75" hidden="false" customHeight="true" outlineLevel="0" collapsed="false">
      <c r="A2181" s="4" t="n">
        <v>43496</v>
      </c>
      <c r="B2181" s="46" t="s">
        <v>48</v>
      </c>
      <c r="C2181" s="46" t="s">
        <v>15</v>
      </c>
      <c r="D2181" s="46" t="s">
        <v>43</v>
      </c>
      <c r="E2181" s="46" t="s">
        <v>109</v>
      </c>
      <c r="F2181" s="46" t="s">
        <v>5129</v>
      </c>
      <c r="G2181" s="46" t="n">
        <f aca="false">+593991758233</f>
        <v>593991758233</v>
      </c>
      <c r="H2181" s="46" t="s">
        <v>5130</v>
      </c>
      <c r="I2181" s="46"/>
      <c r="J2181" s="46"/>
      <c r="K2181" s="1" t="s">
        <v>3372</v>
      </c>
      <c r="L2181" s="1"/>
      <c r="M2181" s="1"/>
      <c r="N2181" s="1"/>
      <c r="O2181" s="1"/>
      <c r="P2181" s="6"/>
      <c r="Q2181" s="1"/>
      <c r="R2181" s="1"/>
      <c r="S2181" s="1"/>
      <c r="T2181" s="1"/>
      <c r="U2181" s="1"/>
      <c r="V2181" s="1"/>
      <c r="W2181" s="1"/>
      <c r="X2181" s="1"/>
      <c r="Y2181" s="1"/>
      <c r="Z2181" s="1"/>
    </row>
    <row r="2182" customFormat="false" ht="21.75" hidden="false" customHeight="true" outlineLevel="0" collapsed="false">
      <c r="A2182" s="4" t="n">
        <v>43496</v>
      </c>
      <c r="B2182" s="46" t="s">
        <v>127</v>
      </c>
      <c r="C2182" s="46" t="s">
        <v>15</v>
      </c>
      <c r="D2182" s="46" t="s">
        <v>43</v>
      </c>
      <c r="E2182" s="46" t="s">
        <v>109</v>
      </c>
      <c r="F2182" s="46" t="s">
        <v>5131</v>
      </c>
      <c r="G2182" s="46" t="n">
        <f aca="false">+593961424242</f>
        <v>593961424242</v>
      </c>
      <c r="H2182" s="46" t="s">
        <v>5132</v>
      </c>
      <c r="I2182" s="46"/>
      <c r="J2182" s="46"/>
      <c r="K2182" s="1" t="s">
        <v>5133</v>
      </c>
      <c r="L2182" s="1"/>
      <c r="M2182" s="1"/>
      <c r="N2182" s="1"/>
      <c r="O2182" s="1"/>
      <c r="P2182" s="6"/>
      <c r="Q2182" s="1"/>
      <c r="R2182" s="1"/>
      <c r="S2182" s="1"/>
      <c r="T2182" s="1"/>
      <c r="U2182" s="1"/>
      <c r="V2182" s="1"/>
      <c r="W2182" s="1"/>
      <c r="X2182" s="1"/>
      <c r="Y2182" s="1"/>
      <c r="Z2182" s="1"/>
    </row>
    <row r="2183" customFormat="false" ht="21.75" hidden="false" customHeight="true" outlineLevel="0" collapsed="false">
      <c r="A2183" s="4" t="n">
        <v>43496</v>
      </c>
      <c r="B2183" s="46" t="s">
        <v>1114</v>
      </c>
      <c r="C2183" s="46" t="s">
        <v>15</v>
      </c>
      <c r="D2183" s="46" t="s">
        <v>43</v>
      </c>
      <c r="E2183" s="46" t="s">
        <v>109</v>
      </c>
      <c r="F2183" s="46" t="s">
        <v>5134</v>
      </c>
      <c r="G2183" s="46" t="n">
        <f aca="false">+593982660224</f>
        <v>593982660224</v>
      </c>
      <c r="H2183" s="46" t="s">
        <v>5135</v>
      </c>
      <c r="I2183" s="46"/>
      <c r="J2183" s="46"/>
      <c r="K2183" s="1" t="s">
        <v>3380</v>
      </c>
      <c r="L2183" s="1"/>
      <c r="M2183" s="1"/>
      <c r="N2183" s="1"/>
      <c r="O2183" s="1"/>
      <c r="P2183" s="6"/>
      <c r="Q2183" s="1"/>
      <c r="R2183" s="1"/>
      <c r="S2183" s="1"/>
      <c r="T2183" s="1"/>
      <c r="U2183" s="1"/>
      <c r="V2183" s="1"/>
      <c r="W2183" s="1"/>
      <c r="X2183" s="1"/>
      <c r="Y2183" s="1"/>
      <c r="Z2183" s="1"/>
    </row>
    <row r="2184" customFormat="false" ht="21.75" hidden="false" customHeight="true" outlineLevel="0" collapsed="false">
      <c r="A2184" s="4" t="n">
        <v>43496</v>
      </c>
      <c r="B2184" s="46" t="s">
        <v>352</v>
      </c>
      <c r="C2184" s="46" t="s">
        <v>15</v>
      </c>
      <c r="D2184" s="46" t="s">
        <v>43</v>
      </c>
      <c r="E2184" s="46" t="s">
        <v>109</v>
      </c>
      <c r="F2184" s="46" t="s">
        <v>5136</v>
      </c>
      <c r="G2184" s="46" t="n">
        <f aca="false">+593997270563</f>
        <v>593997270563</v>
      </c>
      <c r="H2184" s="46" t="s">
        <v>5137</v>
      </c>
      <c r="I2184" s="46"/>
      <c r="J2184" s="46"/>
      <c r="K2184" s="1" t="s">
        <v>3372</v>
      </c>
      <c r="L2184" s="1"/>
      <c r="M2184" s="1"/>
      <c r="N2184" s="1"/>
      <c r="O2184" s="1"/>
      <c r="P2184" s="6"/>
      <c r="Q2184" s="1"/>
      <c r="R2184" s="1"/>
      <c r="S2184" s="1"/>
      <c r="T2184" s="1"/>
      <c r="U2184" s="1"/>
      <c r="V2184" s="1"/>
      <c r="W2184" s="1"/>
      <c r="X2184" s="1"/>
      <c r="Y2184" s="1"/>
      <c r="Z2184" s="1"/>
    </row>
    <row r="2185" customFormat="false" ht="21.75" hidden="false" customHeight="true" outlineLevel="0" collapsed="false">
      <c r="A2185" s="4" t="n">
        <v>43496</v>
      </c>
      <c r="B2185" s="46" t="s">
        <v>352</v>
      </c>
      <c r="C2185" s="46" t="s">
        <v>15</v>
      </c>
      <c r="D2185" s="46" t="s">
        <v>43</v>
      </c>
      <c r="E2185" s="46" t="s">
        <v>109</v>
      </c>
      <c r="F2185" s="46" t="s">
        <v>5138</v>
      </c>
      <c r="G2185" s="46" t="n">
        <f aca="false">+5930959755310</f>
        <v>5930959755310</v>
      </c>
      <c r="H2185" s="46" t="s">
        <v>5139</v>
      </c>
      <c r="I2185" s="46"/>
      <c r="J2185" s="46"/>
      <c r="K2185" s="1" t="s">
        <v>3372</v>
      </c>
      <c r="L2185" s="1"/>
      <c r="M2185" s="1"/>
      <c r="N2185" s="1"/>
      <c r="O2185" s="1"/>
      <c r="P2185" s="6"/>
      <c r="Q2185" s="1"/>
      <c r="R2185" s="1"/>
      <c r="S2185" s="1"/>
      <c r="T2185" s="1"/>
      <c r="U2185" s="1"/>
      <c r="V2185" s="1"/>
      <c r="W2185" s="1"/>
      <c r="X2185" s="1"/>
      <c r="Y2185" s="1"/>
      <c r="Z2185" s="1"/>
    </row>
    <row r="2186" customFormat="false" ht="21.75" hidden="false" customHeight="true" outlineLevel="0" collapsed="false">
      <c r="A2186" s="4" t="n">
        <v>43496</v>
      </c>
      <c r="B2186" s="46" t="s">
        <v>532</v>
      </c>
      <c r="C2186" s="46" t="s">
        <v>15</v>
      </c>
      <c r="D2186" s="46" t="s">
        <v>43</v>
      </c>
      <c r="E2186" s="46" t="s">
        <v>109</v>
      </c>
      <c r="F2186" s="46" t="s">
        <v>5140</v>
      </c>
      <c r="G2186" s="46" t="n">
        <f aca="false">+5930982349589</f>
        <v>5930982349589</v>
      </c>
      <c r="H2186" s="46" t="s">
        <v>5141</v>
      </c>
      <c r="I2186" s="46"/>
      <c r="J2186" s="46"/>
      <c r="K2186" s="1" t="s">
        <v>3372</v>
      </c>
      <c r="L2186" s="1"/>
      <c r="M2186" s="1"/>
      <c r="N2186" s="1"/>
      <c r="O2186" s="1"/>
      <c r="P2186" s="6"/>
      <c r="Q2186" s="1"/>
      <c r="R2186" s="1"/>
      <c r="S2186" s="1"/>
      <c r="T2186" s="1"/>
      <c r="U2186" s="1"/>
      <c r="V2186" s="1"/>
      <c r="W2186" s="1"/>
      <c r="X2186" s="1"/>
      <c r="Y2186" s="1"/>
      <c r="Z2186" s="1"/>
    </row>
    <row r="2187" customFormat="false" ht="21.75" hidden="false" customHeight="true" outlineLevel="0" collapsed="false">
      <c r="A2187" s="4" t="n">
        <v>43496</v>
      </c>
      <c r="B2187" s="46" t="s">
        <v>178</v>
      </c>
      <c r="C2187" s="46" t="s">
        <v>26</v>
      </c>
      <c r="D2187" s="46" t="s">
        <v>43</v>
      </c>
      <c r="E2187" s="46" t="s">
        <v>109</v>
      </c>
      <c r="F2187" s="46" t="s">
        <v>5142</v>
      </c>
      <c r="G2187" s="46" t="n">
        <f aca="false">+5930978900626</f>
        <v>5930978900626</v>
      </c>
      <c r="H2187" s="46" t="s">
        <v>5143</v>
      </c>
      <c r="I2187" s="46"/>
      <c r="J2187" s="46"/>
      <c r="K2187" s="1" t="s">
        <v>3372</v>
      </c>
      <c r="L2187" s="1"/>
      <c r="M2187" s="1"/>
      <c r="N2187" s="1"/>
      <c r="O2187" s="1"/>
      <c r="P2187" s="6"/>
      <c r="Q2187" s="1"/>
      <c r="R2187" s="1"/>
      <c r="S2187" s="1"/>
      <c r="T2187" s="1"/>
      <c r="U2187" s="1"/>
      <c r="V2187" s="1"/>
      <c r="W2187" s="1"/>
      <c r="X2187" s="1"/>
      <c r="Y2187" s="1"/>
      <c r="Z2187" s="1"/>
    </row>
    <row r="2188" customFormat="false" ht="21.75" hidden="false" customHeight="true" outlineLevel="0" collapsed="false">
      <c r="A2188" s="4" t="n">
        <v>43496</v>
      </c>
      <c r="B2188" s="46" t="s">
        <v>48</v>
      </c>
      <c r="C2188" s="46" t="s">
        <v>15</v>
      </c>
      <c r="D2188" s="46" t="s">
        <v>43</v>
      </c>
      <c r="E2188" s="46" t="s">
        <v>109</v>
      </c>
      <c r="F2188" s="46" t="s">
        <v>5144</v>
      </c>
      <c r="G2188" s="46" t="n">
        <f aca="false">+593992320655</f>
        <v>593992320655</v>
      </c>
      <c r="H2188" s="46" t="s">
        <v>5145</v>
      </c>
      <c r="I2188" s="46"/>
      <c r="J2188" s="46"/>
      <c r="K2188" s="1" t="s">
        <v>3372</v>
      </c>
      <c r="L2188" s="1"/>
      <c r="M2188" s="1"/>
      <c r="N2188" s="1"/>
      <c r="O2188" s="1"/>
      <c r="P2188" s="6"/>
      <c r="Q2188" s="1"/>
      <c r="R2188" s="1"/>
      <c r="S2188" s="1"/>
      <c r="T2188" s="1"/>
      <c r="U2188" s="1"/>
      <c r="V2188" s="1"/>
      <c r="W2188" s="1"/>
      <c r="X2188" s="1"/>
      <c r="Y2188" s="1"/>
      <c r="Z2188" s="1"/>
    </row>
    <row r="2189" customFormat="false" ht="21.75" hidden="false" customHeight="true" outlineLevel="0" collapsed="false">
      <c r="A2189" s="4" t="n">
        <v>43496</v>
      </c>
      <c r="B2189" s="46" t="s">
        <v>1478</v>
      </c>
      <c r="C2189" s="46" t="s">
        <v>15</v>
      </c>
      <c r="D2189" s="46" t="s">
        <v>43</v>
      </c>
      <c r="E2189" s="46" t="s">
        <v>109</v>
      </c>
      <c r="F2189" s="46" t="s">
        <v>5146</v>
      </c>
      <c r="G2189" s="46" t="n">
        <f aca="false">+593996943946</f>
        <v>593996943946</v>
      </c>
      <c r="H2189" s="46" t="s">
        <v>5147</v>
      </c>
      <c r="I2189" s="46"/>
      <c r="J2189" s="46"/>
      <c r="K2189" s="1" t="s">
        <v>3372</v>
      </c>
      <c r="L2189" s="1"/>
      <c r="M2189" s="1"/>
      <c r="N2189" s="1"/>
      <c r="O2189" s="1"/>
      <c r="P2189" s="6"/>
      <c r="Q2189" s="1"/>
      <c r="R2189" s="1"/>
      <c r="S2189" s="1"/>
      <c r="T2189" s="1"/>
      <c r="U2189" s="1"/>
      <c r="V2189" s="1"/>
      <c r="W2189" s="1"/>
      <c r="X2189" s="1"/>
      <c r="Y2189" s="1"/>
      <c r="Z2189" s="1"/>
    </row>
    <row r="2190" customFormat="false" ht="21.75" hidden="false" customHeight="true" outlineLevel="0" collapsed="false">
      <c r="A2190" s="4" t="n">
        <v>43496</v>
      </c>
      <c r="B2190" s="46" t="s">
        <v>1114</v>
      </c>
      <c r="C2190" s="46" t="s">
        <v>15</v>
      </c>
      <c r="D2190" s="46" t="s">
        <v>43</v>
      </c>
      <c r="E2190" s="46" t="s">
        <v>109</v>
      </c>
      <c r="F2190" s="46" t="s">
        <v>5148</v>
      </c>
      <c r="G2190" s="46" t="n">
        <f aca="false">+593959710627</f>
        <v>593959710627</v>
      </c>
      <c r="H2190" s="46" t="s">
        <v>5149</v>
      </c>
      <c r="I2190" s="46"/>
      <c r="J2190" s="46"/>
      <c r="K2190" s="1" t="s">
        <v>3404</v>
      </c>
      <c r="L2190" s="1"/>
      <c r="M2190" s="1"/>
      <c r="N2190" s="1"/>
      <c r="O2190" s="1"/>
      <c r="P2190" s="6"/>
      <c r="Q2190" s="1"/>
      <c r="R2190" s="1"/>
      <c r="S2190" s="1"/>
      <c r="T2190" s="1"/>
      <c r="U2190" s="1"/>
      <c r="V2190" s="1"/>
      <c r="W2190" s="1"/>
      <c r="X2190" s="1"/>
      <c r="Y2190" s="1"/>
      <c r="Z2190" s="1"/>
    </row>
    <row r="2191" customFormat="false" ht="21.75" hidden="false" customHeight="true" outlineLevel="0" collapsed="false">
      <c r="A2191" s="4" t="n">
        <v>43496</v>
      </c>
      <c r="B2191" s="46" t="s">
        <v>178</v>
      </c>
      <c r="C2191" s="46" t="s">
        <v>15</v>
      </c>
      <c r="D2191" s="46" t="s">
        <v>43</v>
      </c>
      <c r="E2191" s="46" t="s">
        <v>109</v>
      </c>
      <c r="F2191" s="46" t="s">
        <v>5150</v>
      </c>
      <c r="G2191" s="46" t="n">
        <f aca="false">+5930988666057</f>
        <v>5930988666057</v>
      </c>
      <c r="H2191" s="46" t="s">
        <v>5151</v>
      </c>
      <c r="I2191" s="46"/>
      <c r="J2191" s="46"/>
      <c r="K2191" s="1" t="s">
        <v>3372</v>
      </c>
      <c r="L2191" s="1"/>
      <c r="M2191" s="1"/>
      <c r="N2191" s="1"/>
      <c r="O2191" s="1"/>
      <c r="P2191" s="6"/>
      <c r="Q2191" s="1"/>
      <c r="R2191" s="1"/>
      <c r="S2191" s="1"/>
      <c r="T2191" s="1"/>
      <c r="U2191" s="1"/>
      <c r="V2191" s="1"/>
      <c r="W2191" s="1"/>
      <c r="X2191" s="1"/>
      <c r="Y2191" s="1"/>
      <c r="Z2191" s="1"/>
    </row>
    <row r="2192" customFormat="false" ht="21.75" hidden="false" customHeight="true" outlineLevel="0" collapsed="false">
      <c r="A2192" s="4" t="n">
        <v>43496</v>
      </c>
      <c r="B2192" s="46" t="s">
        <v>48</v>
      </c>
      <c r="C2192" s="46" t="s">
        <v>15</v>
      </c>
      <c r="D2192" s="46" t="s">
        <v>43</v>
      </c>
      <c r="E2192" s="46" t="s">
        <v>109</v>
      </c>
      <c r="F2192" s="46" t="s">
        <v>5152</v>
      </c>
      <c r="G2192" s="46" t="n">
        <f aca="false">+593960471839</f>
        <v>593960471839</v>
      </c>
      <c r="H2192" s="46" t="s">
        <v>5153</v>
      </c>
      <c r="I2192" s="46"/>
      <c r="J2192" s="46"/>
      <c r="K2192" s="1" t="s">
        <v>3372</v>
      </c>
      <c r="L2192" s="1"/>
      <c r="M2192" s="1"/>
      <c r="N2192" s="1"/>
      <c r="O2192" s="1"/>
      <c r="P2192" s="6"/>
      <c r="Q2192" s="1"/>
      <c r="R2192" s="1"/>
      <c r="S2192" s="1"/>
      <c r="T2192" s="1"/>
      <c r="U2192" s="1"/>
      <c r="V2192" s="1"/>
      <c r="W2192" s="1"/>
      <c r="X2192" s="1"/>
      <c r="Y2192" s="1"/>
      <c r="Z2192" s="1"/>
    </row>
    <row r="2193" customFormat="false" ht="21.75" hidden="false" customHeight="true" outlineLevel="0" collapsed="false">
      <c r="A2193" s="4" t="n">
        <v>43496</v>
      </c>
      <c r="B2193" s="46" t="s">
        <v>352</v>
      </c>
      <c r="C2193" s="46" t="s">
        <v>15</v>
      </c>
      <c r="D2193" s="46" t="s">
        <v>43</v>
      </c>
      <c r="E2193" s="46" t="s">
        <v>109</v>
      </c>
      <c r="F2193" s="46" t="s">
        <v>5154</v>
      </c>
      <c r="G2193" s="46" t="n">
        <f aca="false">+5930967907348</f>
        <v>5930967907348</v>
      </c>
      <c r="H2193" s="46" t="s">
        <v>5155</v>
      </c>
      <c r="I2193" s="46"/>
      <c r="J2193" s="46"/>
      <c r="K2193" s="1" t="s">
        <v>3372</v>
      </c>
      <c r="L2193" s="1"/>
      <c r="M2193" s="1"/>
      <c r="N2193" s="1"/>
      <c r="O2193" s="1"/>
      <c r="P2193" s="6"/>
      <c r="Q2193" s="1"/>
      <c r="R2193" s="1"/>
      <c r="S2193" s="1"/>
      <c r="T2193" s="1"/>
      <c r="U2193" s="1"/>
      <c r="V2193" s="1"/>
      <c r="W2193" s="1"/>
      <c r="X2193" s="1"/>
      <c r="Y2193" s="1"/>
      <c r="Z2193" s="1"/>
    </row>
    <row r="2194" customFormat="false" ht="21.75" hidden="false" customHeight="true" outlineLevel="0" collapsed="false">
      <c r="A2194" s="4" t="n">
        <v>43496</v>
      </c>
      <c r="B2194" s="46" t="s">
        <v>127</v>
      </c>
      <c r="C2194" s="46" t="s">
        <v>15</v>
      </c>
      <c r="D2194" s="46" t="s">
        <v>43</v>
      </c>
      <c r="E2194" s="46" t="s">
        <v>109</v>
      </c>
      <c r="F2194" s="46" t="s">
        <v>5156</v>
      </c>
      <c r="G2194" s="46" t="n">
        <f aca="false">+593983283672</f>
        <v>593983283672</v>
      </c>
      <c r="H2194" s="46" t="s">
        <v>5157</v>
      </c>
      <c r="I2194" s="46"/>
      <c r="J2194" s="46"/>
      <c r="K2194" s="1" t="s">
        <v>3372</v>
      </c>
      <c r="L2194" s="1"/>
      <c r="M2194" s="1"/>
      <c r="N2194" s="1"/>
      <c r="O2194" s="1"/>
      <c r="P2194" s="6"/>
      <c r="Q2194" s="1"/>
      <c r="R2194" s="1"/>
      <c r="S2194" s="1"/>
      <c r="T2194" s="1"/>
      <c r="U2194" s="1"/>
      <c r="V2194" s="1"/>
      <c r="W2194" s="1"/>
      <c r="X2194" s="1"/>
      <c r="Y2194" s="1"/>
      <c r="Z2194" s="1"/>
    </row>
    <row r="2195" customFormat="false" ht="21.75" hidden="false" customHeight="true" outlineLevel="0" collapsed="false">
      <c r="A2195" s="4" t="n">
        <v>43496</v>
      </c>
      <c r="B2195" s="46" t="s">
        <v>127</v>
      </c>
      <c r="C2195" s="46" t="s">
        <v>15</v>
      </c>
      <c r="D2195" s="46" t="s">
        <v>43</v>
      </c>
      <c r="E2195" s="46" t="s">
        <v>109</v>
      </c>
      <c r="F2195" s="46" t="s">
        <v>5158</v>
      </c>
      <c r="G2195" s="46" t="n">
        <f aca="false">+5930988796505</f>
        <v>5930988796505</v>
      </c>
      <c r="H2195" s="46" t="s">
        <v>5159</v>
      </c>
      <c r="I2195" s="46"/>
      <c r="J2195" s="46"/>
      <c r="K2195" s="1" t="s">
        <v>3372</v>
      </c>
      <c r="L2195" s="1"/>
      <c r="M2195" s="1"/>
      <c r="N2195" s="1"/>
      <c r="O2195" s="1"/>
      <c r="P2195" s="6"/>
      <c r="Q2195" s="1"/>
      <c r="R2195" s="1"/>
      <c r="S2195" s="1"/>
      <c r="T2195" s="1"/>
      <c r="U2195" s="1"/>
      <c r="V2195" s="1"/>
      <c r="W2195" s="1"/>
      <c r="X2195" s="1"/>
      <c r="Y2195" s="1"/>
      <c r="Z2195" s="1"/>
    </row>
    <row r="2196" customFormat="false" ht="21.75" hidden="false" customHeight="true" outlineLevel="0" collapsed="false">
      <c r="A2196" s="4" t="n">
        <v>43496</v>
      </c>
      <c r="B2196" s="46" t="s">
        <v>532</v>
      </c>
      <c r="C2196" s="46" t="s">
        <v>15</v>
      </c>
      <c r="D2196" s="46" t="s">
        <v>43</v>
      </c>
      <c r="E2196" s="46" t="s">
        <v>109</v>
      </c>
      <c r="F2196" s="46" t="s">
        <v>5160</v>
      </c>
      <c r="G2196" s="57" t="n">
        <v>987614333</v>
      </c>
      <c r="H2196" s="46" t="s">
        <v>5161</v>
      </c>
      <c r="I2196" s="46"/>
      <c r="J2196" s="46"/>
      <c r="K2196" s="1" t="s">
        <v>5162</v>
      </c>
      <c r="L2196" s="1"/>
      <c r="M2196" s="1"/>
      <c r="N2196" s="1"/>
      <c r="O2196" s="1"/>
      <c r="P2196" s="6"/>
      <c r="Q2196" s="1"/>
      <c r="R2196" s="1"/>
      <c r="S2196" s="1"/>
      <c r="T2196" s="1"/>
      <c r="U2196" s="1"/>
      <c r="V2196" s="1"/>
      <c r="W2196" s="1"/>
      <c r="X2196" s="1"/>
      <c r="Y2196" s="1"/>
      <c r="Z2196" s="1"/>
    </row>
    <row r="2197" customFormat="false" ht="21.75" hidden="false" customHeight="true" outlineLevel="0" collapsed="false">
      <c r="A2197" s="4" t="n">
        <v>43496</v>
      </c>
      <c r="B2197" s="46" t="s">
        <v>178</v>
      </c>
      <c r="C2197" s="46" t="s">
        <v>15</v>
      </c>
      <c r="D2197" s="46" t="s">
        <v>43</v>
      </c>
      <c r="E2197" s="46" t="s">
        <v>109</v>
      </c>
      <c r="F2197" s="46" t="s">
        <v>5163</v>
      </c>
      <c r="G2197" s="46" t="n">
        <f aca="false">+5930967783139</f>
        <v>5930967783139</v>
      </c>
      <c r="H2197" s="46" t="s">
        <v>5164</v>
      </c>
      <c r="I2197" s="46"/>
      <c r="J2197" s="46"/>
      <c r="K2197" s="1" t="s">
        <v>5165</v>
      </c>
      <c r="L2197" s="1"/>
      <c r="M2197" s="1"/>
      <c r="N2197" s="1"/>
      <c r="O2197" s="1"/>
      <c r="P2197" s="6"/>
      <c r="Q2197" s="1"/>
      <c r="R2197" s="1"/>
      <c r="S2197" s="1"/>
      <c r="T2197" s="1"/>
      <c r="U2197" s="1"/>
      <c r="V2197" s="1"/>
      <c r="W2197" s="1"/>
      <c r="X2197" s="1"/>
      <c r="Y2197" s="1"/>
      <c r="Z2197" s="1"/>
    </row>
    <row r="2198" customFormat="false" ht="21.75" hidden="false" customHeight="true" outlineLevel="0" collapsed="false">
      <c r="A2198" s="4" t="n">
        <v>43496</v>
      </c>
      <c r="B2198" s="46" t="s">
        <v>1114</v>
      </c>
      <c r="C2198" s="46" t="s">
        <v>15</v>
      </c>
      <c r="D2198" s="46" t="s">
        <v>43</v>
      </c>
      <c r="E2198" s="46" t="s">
        <v>109</v>
      </c>
      <c r="F2198" s="46" t="s">
        <v>5166</v>
      </c>
      <c r="G2198" s="46" t="n">
        <f aca="false">+593983992969</f>
        <v>593983992969</v>
      </c>
      <c r="H2198" s="46" t="s">
        <v>5167</v>
      </c>
      <c r="I2198" s="46"/>
      <c r="J2198" s="46"/>
      <c r="K2198" s="1" t="s">
        <v>5168</v>
      </c>
      <c r="L2198" s="1"/>
      <c r="M2198" s="1"/>
      <c r="N2198" s="1"/>
      <c r="O2198" s="1"/>
      <c r="P2198" s="6"/>
      <c r="Q2198" s="1"/>
      <c r="R2198" s="1"/>
      <c r="S2198" s="1"/>
      <c r="T2198" s="1"/>
      <c r="U2198" s="1"/>
      <c r="V2198" s="1"/>
      <c r="W2198" s="1"/>
      <c r="X2198" s="1"/>
      <c r="Y2198" s="1"/>
      <c r="Z2198" s="1"/>
    </row>
    <row r="2199" customFormat="false" ht="21.75" hidden="false" customHeight="true" outlineLevel="0" collapsed="false">
      <c r="A2199" s="4" t="n">
        <v>43496</v>
      </c>
      <c r="B2199" s="46" t="s">
        <v>352</v>
      </c>
      <c r="C2199" s="46" t="s">
        <v>15</v>
      </c>
      <c r="D2199" s="46" t="s">
        <v>43</v>
      </c>
      <c r="E2199" s="46" t="s">
        <v>109</v>
      </c>
      <c r="F2199" s="46" t="s">
        <v>5169</v>
      </c>
      <c r="G2199" s="46" t="n">
        <f aca="false">+593979775747</f>
        <v>593979775747</v>
      </c>
      <c r="H2199" s="46" t="s">
        <v>5170</v>
      </c>
      <c r="I2199" s="46"/>
      <c r="J2199" s="46"/>
      <c r="K2199" s="1" t="s">
        <v>5171</v>
      </c>
      <c r="L2199" s="1"/>
      <c r="M2199" s="1"/>
      <c r="N2199" s="1"/>
      <c r="O2199" s="1"/>
      <c r="P2199" s="6"/>
      <c r="Q2199" s="1"/>
      <c r="R2199" s="1"/>
      <c r="S2199" s="1"/>
      <c r="T2199" s="1"/>
      <c r="U2199" s="1"/>
      <c r="V2199" s="1"/>
      <c r="W2199" s="1"/>
      <c r="X2199" s="1"/>
      <c r="Y2199" s="1"/>
      <c r="Z2199" s="1"/>
    </row>
    <row r="2200" customFormat="false" ht="21.75" hidden="false" customHeight="true" outlineLevel="0" collapsed="false">
      <c r="A2200" s="4" t="n">
        <v>43496</v>
      </c>
      <c r="B2200" s="46" t="s">
        <v>1106</v>
      </c>
      <c r="C2200" s="46" t="s">
        <v>15</v>
      </c>
      <c r="D2200" s="46" t="s">
        <v>43</v>
      </c>
      <c r="E2200" s="46" t="s">
        <v>109</v>
      </c>
      <c r="F2200" s="46" t="s">
        <v>5172</v>
      </c>
      <c r="G2200" s="46" t="n">
        <f aca="false">+593939137248</f>
        <v>593939137248</v>
      </c>
      <c r="H2200" s="46" t="s">
        <v>5173</v>
      </c>
      <c r="I2200" s="46"/>
      <c r="J2200" s="46"/>
      <c r="K2200" s="1" t="s">
        <v>3372</v>
      </c>
      <c r="L2200" s="1"/>
      <c r="M2200" s="1"/>
      <c r="N2200" s="1"/>
      <c r="O2200" s="1"/>
      <c r="P2200" s="6"/>
      <c r="Q2200" s="1"/>
      <c r="R2200" s="1"/>
      <c r="S2200" s="1"/>
      <c r="T2200" s="1"/>
      <c r="U2200" s="1"/>
      <c r="V2200" s="1"/>
      <c r="W2200" s="1"/>
      <c r="X2200" s="1"/>
      <c r="Y2200" s="1"/>
      <c r="Z2200" s="1"/>
    </row>
    <row r="2201" customFormat="false" ht="21.75" hidden="false" customHeight="true" outlineLevel="0" collapsed="false">
      <c r="A2201" s="4" t="n">
        <v>43496</v>
      </c>
      <c r="B2201" s="46" t="s">
        <v>532</v>
      </c>
      <c r="C2201" s="46" t="s">
        <v>15</v>
      </c>
      <c r="D2201" s="46" t="s">
        <v>43</v>
      </c>
      <c r="E2201" s="46" t="s">
        <v>109</v>
      </c>
      <c r="F2201" s="46" t="s">
        <v>5174</v>
      </c>
      <c r="G2201" s="46" t="n">
        <f aca="false">+5930959796718</f>
        <v>5930959796718</v>
      </c>
      <c r="H2201" s="46" t="s">
        <v>5175</v>
      </c>
      <c r="I2201" s="46"/>
      <c r="J2201" s="46"/>
      <c r="K2201" s="1" t="s">
        <v>5176</v>
      </c>
      <c r="L2201" s="1"/>
      <c r="M2201" s="1"/>
      <c r="N2201" s="1"/>
      <c r="O2201" s="1"/>
      <c r="P2201" s="6"/>
      <c r="Q2201" s="1"/>
      <c r="R2201" s="1"/>
      <c r="S2201" s="1"/>
      <c r="T2201" s="1"/>
      <c r="U2201" s="1"/>
      <c r="V2201" s="1"/>
      <c r="W2201" s="1"/>
      <c r="X2201" s="1"/>
      <c r="Y2201" s="1"/>
      <c r="Z2201" s="1"/>
    </row>
    <row r="2202" customFormat="false" ht="21.75" hidden="false" customHeight="true" outlineLevel="0" collapsed="false">
      <c r="A2202" s="4" t="n">
        <v>43496</v>
      </c>
      <c r="B2202" s="46" t="s">
        <v>323</v>
      </c>
      <c r="C2202" s="46" t="s">
        <v>15</v>
      </c>
      <c r="D2202" s="46" t="s">
        <v>43</v>
      </c>
      <c r="E2202" s="46" t="s">
        <v>109</v>
      </c>
      <c r="F2202" s="46" t="s">
        <v>5177</v>
      </c>
      <c r="G2202" s="46" t="n">
        <f aca="false">+593982565082</f>
        <v>593982565082</v>
      </c>
      <c r="H2202" s="46" t="s">
        <v>5178</v>
      </c>
      <c r="I2202" s="46"/>
      <c r="J2202" s="46"/>
      <c r="K2202" s="1" t="s">
        <v>5179</v>
      </c>
      <c r="L2202" s="1"/>
      <c r="M2202" s="1"/>
      <c r="N2202" s="1"/>
      <c r="O2202" s="1"/>
      <c r="P2202" s="6"/>
      <c r="Q2202" s="1"/>
      <c r="R2202" s="1"/>
      <c r="S2202" s="1"/>
      <c r="T2202" s="1"/>
      <c r="U2202" s="1"/>
      <c r="V2202" s="1"/>
      <c r="W2202" s="1"/>
      <c r="X2202" s="1"/>
      <c r="Y2202" s="1"/>
      <c r="Z2202" s="1"/>
    </row>
    <row r="2203" customFormat="false" ht="21.75" hidden="false" customHeight="true" outlineLevel="0" collapsed="false">
      <c r="A2203" s="4" t="n">
        <v>43496</v>
      </c>
      <c r="B2203" s="46" t="s">
        <v>48</v>
      </c>
      <c r="C2203" s="46" t="s">
        <v>15</v>
      </c>
      <c r="D2203" s="46" t="s">
        <v>43</v>
      </c>
      <c r="E2203" s="46" t="s">
        <v>109</v>
      </c>
      <c r="F2203" s="46" t="s">
        <v>5180</v>
      </c>
      <c r="G2203" s="46" t="n">
        <f aca="false">+593978768965</f>
        <v>593978768965</v>
      </c>
      <c r="H2203" s="46" t="s">
        <v>5181</v>
      </c>
      <c r="I2203" s="46"/>
      <c r="J2203" s="46"/>
      <c r="K2203" s="1" t="s">
        <v>3372</v>
      </c>
      <c r="L2203" s="1"/>
      <c r="M2203" s="1"/>
      <c r="N2203" s="1"/>
      <c r="O2203" s="1"/>
      <c r="P2203" s="6"/>
      <c r="Q2203" s="1"/>
      <c r="R2203" s="1"/>
      <c r="S2203" s="1"/>
      <c r="T2203" s="1"/>
      <c r="U2203" s="1"/>
      <c r="V2203" s="1"/>
      <c r="W2203" s="1"/>
      <c r="X2203" s="1"/>
      <c r="Y2203" s="1"/>
      <c r="Z2203" s="1"/>
    </row>
    <row r="2204" customFormat="false" ht="21.75" hidden="false" customHeight="true" outlineLevel="0" collapsed="false">
      <c r="A2204" s="4" t="n">
        <v>43496</v>
      </c>
      <c r="B2204" s="46" t="s">
        <v>1114</v>
      </c>
      <c r="C2204" s="46" t="s">
        <v>15</v>
      </c>
      <c r="D2204" s="46" t="s">
        <v>43</v>
      </c>
      <c r="E2204" s="46" t="s">
        <v>109</v>
      </c>
      <c r="F2204" s="46" t="s">
        <v>5182</v>
      </c>
      <c r="G2204" s="46" t="n">
        <f aca="false">+593987427585</f>
        <v>593987427585</v>
      </c>
      <c r="H2204" s="46" t="s">
        <v>5183</v>
      </c>
      <c r="I2204" s="46"/>
      <c r="J2204" s="46"/>
      <c r="K2204" s="1" t="s">
        <v>3372</v>
      </c>
      <c r="L2204" s="1"/>
      <c r="M2204" s="1"/>
      <c r="N2204" s="1"/>
      <c r="O2204" s="1"/>
      <c r="P2204" s="6"/>
      <c r="Q2204" s="1"/>
      <c r="R2204" s="1"/>
      <c r="S2204" s="1"/>
      <c r="T2204" s="1"/>
      <c r="U2204" s="1"/>
      <c r="V2204" s="1"/>
      <c r="W2204" s="1"/>
      <c r="X2204" s="1"/>
      <c r="Y2204" s="1"/>
      <c r="Z2204" s="1"/>
    </row>
    <row r="2205" customFormat="false" ht="21.75" hidden="false" customHeight="true" outlineLevel="0" collapsed="false">
      <c r="A2205" s="4" t="n">
        <v>43496</v>
      </c>
      <c r="B2205" s="46" t="s">
        <v>1114</v>
      </c>
      <c r="C2205" s="46" t="s">
        <v>15</v>
      </c>
      <c r="D2205" s="46" t="s">
        <v>43</v>
      </c>
      <c r="E2205" s="46" t="s">
        <v>109</v>
      </c>
      <c r="F2205" s="46" t="s">
        <v>5184</v>
      </c>
      <c r="G2205" s="46" t="n">
        <f aca="false">+5930992156764</f>
        <v>5930992156764</v>
      </c>
      <c r="H2205" s="46" t="s">
        <v>5041</v>
      </c>
      <c r="I2205" s="46"/>
      <c r="J2205" s="46"/>
      <c r="K2205" s="1" t="s">
        <v>4189</v>
      </c>
      <c r="L2205" s="1"/>
      <c r="M2205" s="1"/>
      <c r="N2205" s="1"/>
      <c r="O2205" s="1"/>
      <c r="P2205" s="6"/>
      <c r="Q2205" s="1"/>
      <c r="R2205" s="1"/>
      <c r="S2205" s="1"/>
      <c r="T2205" s="1"/>
      <c r="U2205" s="1"/>
      <c r="V2205" s="1"/>
      <c r="W2205" s="1"/>
      <c r="X2205" s="1"/>
      <c r="Y2205" s="1"/>
      <c r="Z2205" s="1"/>
    </row>
    <row r="2206" customFormat="false" ht="21.75" hidden="false" customHeight="true" outlineLevel="0" collapsed="false">
      <c r="A2206" s="4" t="n">
        <v>43496</v>
      </c>
      <c r="B2206" s="46" t="s">
        <v>48</v>
      </c>
      <c r="C2206" s="46" t="s">
        <v>26</v>
      </c>
      <c r="D2206" s="46" t="s">
        <v>43</v>
      </c>
      <c r="E2206" s="46" t="s">
        <v>109</v>
      </c>
      <c r="F2206" s="46" t="s">
        <v>5185</v>
      </c>
      <c r="G2206" s="46" t="n">
        <f aca="false">+593980173743</f>
        <v>593980173743</v>
      </c>
      <c r="H2206" s="46" t="s">
        <v>5186</v>
      </c>
      <c r="I2206" s="46"/>
      <c r="J2206" s="46"/>
      <c r="K2206" s="1" t="s">
        <v>5171</v>
      </c>
      <c r="L2206" s="1"/>
      <c r="M2206" s="1"/>
      <c r="N2206" s="1"/>
      <c r="O2206" s="1"/>
      <c r="P2206" s="6"/>
      <c r="Q2206" s="1"/>
      <c r="R2206" s="1"/>
      <c r="S2206" s="1"/>
      <c r="T2206" s="1"/>
      <c r="U2206" s="1"/>
      <c r="V2206" s="1"/>
      <c r="W2206" s="1"/>
      <c r="X2206" s="1"/>
      <c r="Y2206" s="1"/>
      <c r="Z2206" s="1"/>
    </row>
    <row r="2207" customFormat="false" ht="21.75" hidden="false" customHeight="true" outlineLevel="0" collapsed="false">
      <c r="A2207" s="4" t="n">
        <v>43496</v>
      </c>
      <c r="B2207" s="46" t="s">
        <v>1114</v>
      </c>
      <c r="C2207" s="46" t="s">
        <v>15</v>
      </c>
      <c r="D2207" s="46" t="s">
        <v>43</v>
      </c>
      <c r="E2207" s="46" t="s">
        <v>109</v>
      </c>
      <c r="F2207" s="46" t="s">
        <v>5187</v>
      </c>
      <c r="G2207" s="46" t="n">
        <f aca="false">+593991615002</f>
        <v>593991615002</v>
      </c>
      <c r="H2207" s="46" t="s">
        <v>5188</v>
      </c>
      <c r="I2207" s="46"/>
      <c r="J2207" s="46"/>
      <c r="K2207" s="1" t="s">
        <v>3372</v>
      </c>
      <c r="L2207" s="1"/>
      <c r="M2207" s="1"/>
      <c r="N2207" s="1"/>
      <c r="O2207" s="1"/>
      <c r="P2207" s="6"/>
      <c r="Q2207" s="1"/>
      <c r="R2207" s="1"/>
      <c r="S2207" s="1"/>
      <c r="T2207" s="1"/>
      <c r="U2207" s="1"/>
      <c r="V2207" s="1"/>
      <c r="W2207" s="1"/>
      <c r="X2207" s="1"/>
      <c r="Y2207" s="1"/>
      <c r="Z2207" s="1"/>
    </row>
    <row r="2208" customFormat="false" ht="21.75" hidden="false" customHeight="true" outlineLevel="0" collapsed="false">
      <c r="A2208" s="4" t="n">
        <v>43496</v>
      </c>
      <c r="B2208" s="46" t="s">
        <v>42</v>
      </c>
      <c r="C2208" s="46" t="s">
        <v>15</v>
      </c>
      <c r="D2208" s="46" t="s">
        <v>43</v>
      </c>
      <c r="E2208" s="46" t="s">
        <v>109</v>
      </c>
      <c r="F2208" s="46" t="s">
        <v>5189</v>
      </c>
      <c r="G2208" s="46" t="n">
        <f aca="false">+5930968406299</f>
        <v>5930968406299</v>
      </c>
      <c r="H2208" s="46" t="s">
        <v>5190</v>
      </c>
      <c r="I2208" s="46"/>
      <c r="J2208" s="46"/>
      <c r="K2208" s="1" t="s">
        <v>3372</v>
      </c>
      <c r="L2208" s="1"/>
      <c r="M2208" s="1"/>
      <c r="N2208" s="1"/>
      <c r="O2208" s="1"/>
      <c r="P2208" s="6"/>
      <c r="Q2208" s="1"/>
      <c r="R2208" s="1"/>
      <c r="S2208" s="1"/>
      <c r="T2208" s="1"/>
      <c r="U2208" s="1"/>
      <c r="V2208" s="1"/>
      <c r="W2208" s="1"/>
      <c r="X2208" s="1"/>
      <c r="Y2208" s="1"/>
      <c r="Z2208" s="1"/>
    </row>
    <row r="2209" customFormat="false" ht="21.75" hidden="false" customHeight="true" outlineLevel="0" collapsed="false">
      <c r="A2209" s="4" t="n">
        <v>43496</v>
      </c>
      <c r="B2209" s="46" t="s">
        <v>1114</v>
      </c>
      <c r="C2209" s="46" t="s">
        <v>15</v>
      </c>
      <c r="D2209" s="46" t="s">
        <v>43</v>
      </c>
      <c r="E2209" s="46" t="s">
        <v>109</v>
      </c>
      <c r="F2209" s="46" t="s">
        <v>5191</v>
      </c>
      <c r="G2209" s="46" t="n">
        <f aca="false">+593939445375</f>
        <v>593939445375</v>
      </c>
      <c r="H2209" s="46" t="s">
        <v>5192</v>
      </c>
      <c r="I2209" s="46"/>
      <c r="J2209" s="46"/>
      <c r="K2209" s="1" t="s">
        <v>3372</v>
      </c>
      <c r="L2209" s="1"/>
      <c r="M2209" s="1"/>
      <c r="N2209" s="1"/>
      <c r="O2209" s="1"/>
      <c r="P2209" s="6"/>
      <c r="Q2209" s="1"/>
      <c r="R2209" s="1"/>
      <c r="S2209" s="1"/>
      <c r="T2209" s="1"/>
      <c r="U2209" s="1"/>
      <c r="V2209" s="1"/>
      <c r="W2209" s="1"/>
      <c r="X2209" s="1"/>
      <c r="Y2209" s="1"/>
      <c r="Z2209" s="1"/>
    </row>
    <row r="2210" customFormat="false" ht="21.75" hidden="false" customHeight="true" outlineLevel="0" collapsed="false">
      <c r="A2210" s="4" t="n">
        <v>43496</v>
      </c>
      <c r="B2210" s="46" t="s">
        <v>81</v>
      </c>
      <c r="C2210" s="46" t="s">
        <v>26</v>
      </c>
      <c r="D2210" s="46" t="s">
        <v>43</v>
      </c>
      <c r="E2210" s="46" t="s">
        <v>109</v>
      </c>
      <c r="F2210" s="46" t="s">
        <v>5193</v>
      </c>
      <c r="G2210" s="46" t="n">
        <f aca="false">+593979714890</f>
        <v>593979714890</v>
      </c>
      <c r="H2210" s="46" t="s">
        <v>5194</v>
      </c>
      <c r="I2210" s="46"/>
      <c r="J2210" s="46"/>
      <c r="K2210" s="1" t="s">
        <v>5195</v>
      </c>
      <c r="L2210" s="1"/>
      <c r="M2210" s="1"/>
      <c r="N2210" s="1"/>
      <c r="O2210" s="1"/>
      <c r="P2210" s="6"/>
      <c r="Q2210" s="1"/>
      <c r="R2210" s="1"/>
      <c r="S2210" s="1"/>
      <c r="T2210" s="1"/>
      <c r="U2210" s="1"/>
      <c r="V2210" s="1"/>
      <c r="W2210" s="1"/>
      <c r="X2210" s="1"/>
      <c r="Y2210" s="1"/>
      <c r="Z2210" s="1"/>
    </row>
    <row r="2211" customFormat="false" ht="21.75" hidden="false" customHeight="true" outlineLevel="0" collapsed="false">
      <c r="A2211" s="4" t="n">
        <v>43496</v>
      </c>
      <c r="B2211" s="46" t="s">
        <v>352</v>
      </c>
      <c r="C2211" s="46" t="s">
        <v>15</v>
      </c>
      <c r="D2211" s="46" t="s">
        <v>43</v>
      </c>
      <c r="E2211" s="46" t="s">
        <v>109</v>
      </c>
      <c r="F2211" s="46" t="s">
        <v>5196</v>
      </c>
      <c r="G2211" s="46" t="n">
        <f aca="false">+593968931341</f>
        <v>593968931341</v>
      </c>
      <c r="H2211" s="46" t="s">
        <v>5197</v>
      </c>
      <c r="I2211" s="46"/>
      <c r="J2211" s="46"/>
      <c r="K2211" s="1" t="s">
        <v>3372</v>
      </c>
      <c r="L2211" s="1"/>
      <c r="M2211" s="1"/>
      <c r="N2211" s="1"/>
      <c r="O2211" s="1"/>
      <c r="P2211" s="6"/>
      <c r="Q2211" s="1"/>
      <c r="R2211" s="1"/>
      <c r="S2211" s="1"/>
      <c r="T2211" s="1"/>
      <c r="U2211" s="1"/>
      <c r="V2211" s="1"/>
      <c r="W2211" s="1"/>
      <c r="X2211" s="1"/>
      <c r="Y2211" s="1"/>
      <c r="Z2211" s="1"/>
    </row>
    <row r="2212" customFormat="false" ht="21.75" hidden="false" customHeight="true" outlineLevel="0" collapsed="false">
      <c r="A2212" s="4" t="n">
        <v>43496</v>
      </c>
      <c r="B2212" s="46" t="s">
        <v>532</v>
      </c>
      <c r="C2212" s="46" t="s">
        <v>15</v>
      </c>
      <c r="D2212" s="46" t="s">
        <v>43</v>
      </c>
      <c r="E2212" s="46" t="s">
        <v>109</v>
      </c>
      <c r="F2212" s="46" t="s">
        <v>5198</v>
      </c>
      <c r="G2212" s="46" t="n">
        <f aca="false">+593988360715</f>
        <v>593988360715</v>
      </c>
      <c r="H2212" s="46" t="s">
        <v>5199</v>
      </c>
      <c r="I2212" s="46"/>
      <c r="J2212" s="46"/>
      <c r="K2212" s="1" t="s">
        <v>3372</v>
      </c>
      <c r="L2212" s="1"/>
      <c r="M2212" s="1"/>
      <c r="N2212" s="1"/>
      <c r="O2212" s="1"/>
      <c r="P2212" s="6"/>
      <c r="Q2212" s="1"/>
      <c r="R2212" s="1"/>
      <c r="S2212" s="1"/>
      <c r="T2212" s="1"/>
      <c r="U2212" s="1"/>
      <c r="V2212" s="1"/>
      <c r="W2212" s="1"/>
      <c r="X2212" s="1"/>
      <c r="Y2212" s="1"/>
      <c r="Z2212" s="1"/>
    </row>
    <row r="2213" customFormat="false" ht="21.75" hidden="false" customHeight="true" outlineLevel="0" collapsed="false">
      <c r="A2213" s="4" t="n">
        <v>43496</v>
      </c>
      <c r="B2213" s="46" t="s">
        <v>415</v>
      </c>
      <c r="C2213" s="46" t="s">
        <v>15</v>
      </c>
      <c r="D2213" s="46" t="s">
        <v>43</v>
      </c>
      <c r="E2213" s="46" t="s">
        <v>109</v>
      </c>
      <c r="F2213" s="46" t="s">
        <v>5200</v>
      </c>
      <c r="G2213" s="46" t="n">
        <f aca="false">+593959693885</f>
        <v>593959693885</v>
      </c>
      <c r="H2213" s="46" t="s">
        <v>5201</v>
      </c>
      <c r="I2213" s="46"/>
      <c r="J2213" s="46"/>
      <c r="K2213" s="1" t="s">
        <v>3380</v>
      </c>
      <c r="L2213" s="1"/>
      <c r="M2213" s="1"/>
      <c r="N2213" s="1"/>
      <c r="O2213" s="1"/>
      <c r="P2213" s="6"/>
      <c r="Q2213" s="1"/>
      <c r="R2213" s="1"/>
      <c r="S2213" s="1"/>
      <c r="T2213" s="1"/>
      <c r="U2213" s="1"/>
      <c r="V2213" s="1"/>
      <c r="W2213" s="1"/>
      <c r="X2213" s="1"/>
      <c r="Y2213" s="1"/>
      <c r="Z2213" s="1"/>
    </row>
    <row r="2214" customFormat="false" ht="21.75" hidden="false" customHeight="true" outlineLevel="0" collapsed="false">
      <c r="A2214" s="4" t="n">
        <v>43496</v>
      </c>
      <c r="B2214" s="46" t="s">
        <v>1114</v>
      </c>
      <c r="C2214" s="46" t="s">
        <v>15</v>
      </c>
      <c r="D2214" s="46" t="s">
        <v>43</v>
      </c>
      <c r="E2214" s="46" t="s">
        <v>109</v>
      </c>
      <c r="F2214" s="46" t="s">
        <v>5202</v>
      </c>
      <c r="G2214" s="46" t="n">
        <f aca="false">+593987297157</f>
        <v>593987297157</v>
      </c>
      <c r="H2214" s="46" t="s">
        <v>5203</v>
      </c>
      <c r="I2214" s="46"/>
      <c r="J2214" s="46"/>
      <c r="K2214" s="1" t="s">
        <v>3372</v>
      </c>
      <c r="L2214" s="1"/>
      <c r="M2214" s="1"/>
      <c r="N2214" s="1"/>
      <c r="O2214" s="1"/>
      <c r="P2214" s="6"/>
      <c r="Q2214" s="1"/>
      <c r="R2214" s="1"/>
      <c r="S2214" s="1"/>
      <c r="T2214" s="1"/>
      <c r="U2214" s="1"/>
      <c r="V2214" s="1"/>
      <c r="W2214" s="1"/>
      <c r="X2214" s="1"/>
      <c r="Y2214" s="1"/>
      <c r="Z2214" s="1"/>
    </row>
    <row r="2215" customFormat="false" ht="21.75" hidden="false" customHeight="true" outlineLevel="0" collapsed="false">
      <c r="A2215" s="4" t="n">
        <v>43496</v>
      </c>
      <c r="B2215" s="46" t="s">
        <v>1114</v>
      </c>
      <c r="C2215" s="46" t="s">
        <v>15</v>
      </c>
      <c r="D2215" s="46" t="s">
        <v>43</v>
      </c>
      <c r="E2215" s="46" t="s">
        <v>109</v>
      </c>
      <c r="F2215" s="46" t="s">
        <v>5204</v>
      </c>
      <c r="G2215" s="46" t="n">
        <f aca="false">+593983317855</f>
        <v>593983317855</v>
      </c>
      <c r="H2215" s="46" t="s">
        <v>5205</v>
      </c>
      <c r="I2215" s="46"/>
      <c r="J2215" s="46"/>
      <c r="K2215" s="1" t="s">
        <v>3372</v>
      </c>
      <c r="L2215" s="1"/>
      <c r="M2215" s="1"/>
      <c r="N2215" s="1"/>
      <c r="O2215" s="1"/>
      <c r="P2215" s="6"/>
      <c r="Q2215" s="1"/>
      <c r="R2215" s="1"/>
      <c r="S2215" s="1"/>
      <c r="T2215" s="1"/>
      <c r="U2215" s="1"/>
      <c r="V2215" s="1"/>
      <c r="W2215" s="1"/>
      <c r="X2215" s="1"/>
      <c r="Y2215" s="1"/>
      <c r="Z2215" s="1"/>
    </row>
    <row r="2216" customFormat="false" ht="21.75" hidden="false" customHeight="true" outlineLevel="0" collapsed="false">
      <c r="A2216" s="4" t="n">
        <v>43496</v>
      </c>
      <c r="B2216" s="53" t="s">
        <v>48</v>
      </c>
      <c r="C2216" s="46" t="s">
        <v>15</v>
      </c>
      <c r="D2216" s="46" t="s">
        <v>43</v>
      </c>
      <c r="E2216" s="46" t="s">
        <v>44</v>
      </c>
      <c r="F2216" s="46" t="s">
        <v>5206</v>
      </c>
      <c r="G2216" s="46" t="n">
        <f aca="false">+593988261389</f>
        <v>593988261389</v>
      </c>
      <c r="H2216" s="46" t="s">
        <v>5207</v>
      </c>
      <c r="I2216" s="46"/>
      <c r="J2216" s="46"/>
      <c r="K2216" s="1" t="s">
        <v>3372</v>
      </c>
      <c r="L2216" s="1"/>
      <c r="M2216" s="1"/>
      <c r="N2216" s="1"/>
      <c r="O2216" s="1"/>
      <c r="P2216" s="6"/>
      <c r="Q2216" s="1"/>
      <c r="R2216" s="1"/>
      <c r="S2216" s="1"/>
      <c r="T2216" s="1"/>
      <c r="U2216" s="1"/>
      <c r="V2216" s="1"/>
      <c r="W2216" s="1"/>
      <c r="X2216" s="1"/>
      <c r="Y2216" s="1"/>
      <c r="Z2216" s="1"/>
    </row>
    <row r="2217" customFormat="false" ht="21.75" hidden="false" customHeight="true" outlineLevel="0" collapsed="false">
      <c r="A2217" s="4" t="n">
        <v>43496</v>
      </c>
      <c r="B2217" s="53" t="s">
        <v>48</v>
      </c>
      <c r="C2217" s="46" t="s">
        <v>15</v>
      </c>
      <c r="D2217" s="46" t="s">
        <v>43</v>
      </c>
      <c r="E2217" s="46" t="s">
        <v>44</v>
      </c>
      <c r="F2217" s="46" t="s">
        <v>5208</v>
      </c>
      <c r="G2217" s="46" t="n">
        <f aca="false">+593995089347</f>
        <v>593995089347</v>
      </c>
      <c r="H2217" s="46" t="s">
        <v>5209</v>
      </c>
      <c r="I2217" s="46"/>
      <c r="J2217" s="46"/>
      <c r="K2217" s="1" t="s">
        <v>5171</v>
      </c>
      <c r="L2217" s="1"/>
      <c r="M2217" s="1"/>
      <c r="N2217" s="1"/>
      <c r="O2217" s="1"/>
      <c r="P2217" s="6"/>
      <c r="Q2217" s="1"/>
      <c r="R2217" s="1"/>
      <c r="S2217" s="1"/>
      <c r="T2217" s="1"/>
      <c r="U2217" s="1"/>
      <c r="V2217" s="1"/>
      <c r="W2217" s="1"/>
      <c r="X2217" s="1"/>
      <c r="Y2217" s="1"/>
      <c r="Z2217" s="1"/>
    </row>
    <row r="2218" customFormat="false" ht="21.75" hidden="false" customHeight="true" outlineLevel="0" collapsed="false">
      <c r="A2218" s="4" t="n">
        <v>43496</v>
      </c>
      <c r="B2218" s="53" t="s">
        <v>48</v>
      </c>
      <c r="C2218" s="46" t="s">
        <v>15</v>
      </c>
      <c r="D2218" s="46" t="s">
        <v>43</v>
      </c>
      <c r="E2218" s="46" t="s">
        <v>44</v>
      </c>
      <c r="F2218" s="46" t="s">
        <v>5210</v>
      </c>
      <c r="G2218" s="46" t="n">
        <f aca="false">+5930999170603</f>
        <v>5930999170603</v>
      </c>
      <c r="H2218" s="46" t="s">
        <v>5211</v>
      </c>
      <c r="I2218" s="46"/>
      <c r="J2218" s="46"/>
      <c r="K2218" s="1" t="s">
        <v>5212</v>
      </c>
      <c r="L2218" s="1"/>
      <c r="M2218" s="1"/>
      <c r="N2218" s="1"/>
      <c r="O2218" s="1"/>
      <c r="P2218" s="6"/>
      <c r="Q2218" s="1"/>
      <c r="R2218" s="1"/>
      <c r="S2218" s="1"/>
      <c r="T2218" s="1"/>
      <c r="U2218" s="1"/>
      <c r="V2218" s="1"/>
      <c r="W2218" s="1"/>
      <c r="X2218" s="1"/>
      <c r="Y2218" s="1"/>
      <c r="Z2218" s="1"/>
    </row>
    <row r="2219" customFormat="false" ht="21.75" hidden="false" customHeight="true" outlineLevel="0" collapsed="false">
      <c r="A2219" s="4" t="n">
        <v>43496</v>
      </c>
      <c r="B2219" s="53" t="s">
        <v>48</v>
      </c>
      <c r="C2219" s="46" t="s">
        <v>15</v>
      </c>
      <c r="D2219" s="46" t="s">
        <v>43</v>
      </c>
      <c r="E2219" s="46" t="s">
        <v>44</v>
      </c>
      <c r="F2219" s="46" t="s">
        <v>5213</v>
      </c>
      <c r="G2219" s="46" t="n">
        <f aca="false">+593992874495</f>
        <v>593992874495</v>
      </c>
      <c r="H2219" s="46" t="s">
        <v>5214</v>
      </c>
      <c r="I2219" s="46"/>
      <c r="J2219" s="46"/>
      <c r="K2219" s="1" t="s">
        <v>3372</v>
      </c>
      <c r="L2219" s="1"/>
      <c r="M2219" s="1"/>
      <c r="N2219" s="1"/>
      <c r="O2219" s="1"/>
      <c r="P2219" s="6"/>
      <c r="Q2219" s="1"/>
      <c r="R2219" s="1"/>
      <c r="S2219" s="1"/>
      <c r="T2219" s="1"/>
      <c r="U2219" s="1"/>
      <c r="V2219" s="1"/>
      <c r="W2219" s="1"/>
      <c r="X2219" s="1"/>
      <c r="Y2219" s="1"/>
      <c r="Z2219" s="1"/>
    </row>
    <row r="2220" customFormat="false" ht="21.75" hidden="false" customHeight="true" outlineLevel="0" collapsed="false">
      <c r="A2220" s="4" t="n">
        <v>43496</v>
      </c>
      <c r="B2220" s="53" t="s">
        <v>48</v>
      </c>
      <c r="C2220" s="46" t="s">
        <v>15</v>
      </c>
      <c r="D2220" s="46" t="s">
        <v>43</v>
      </c>
      <c r="E2220" s="46" t="s">
        <v>44</v>
      </c>
      <c r="F2220" s="46" t="s">
        <v>5215</v>
      </c>
      <c r="G2220" s="46" t="n">
        <f aca="false">+593994783277</f>
        <v>593994783277</v>
      </c>
      <c r="H2220" s="46" t="s">
        <v>5216</v>
      </c>
      <c r="I2220" s="46"/>
      <c r="J2220" s="46"/>
      <c r="K2220" s="1" t="s">
        <v>3372</v>
      </c>
      <c r="L2220" s="1"/>
      <c r="M2220" s="1"/>
      <c r="N2220" s="1"/>
      <c r="O2220" s="1"/>
      <c r="P2220" s="6"/>
      <c r="Q2220" s="1"/>
      <c r="R2220" s="1"/>
      <c r="S2220" s="1"/>
      <c r="T2220" s="1"/>
      <c r="U2220" s="1"/>
      <c r="V2220" s="1"/>
      <c r="W2220" s="1"/>
      <c r="X2220" s="1"/>
      <c r="Y2220" s="1"/>
      <c r="Z2220" s="1"/>
    </row>
    <row r="2221" customFormat="false" ht="21.75" hidden="false" customHeight="true" outlineLevel="0" collapsed="false">
      <c r="A2221" s="4" t="n">
        <v>43496</v>
      </c>
      <c r="B2221" s="53" t="s">
        <v>48</v>
      </c>
      <c r="C2221" s="46" t="s">
        <v>15</v>
      </c>
      <c r="D2221" s="46" t="s">
        <v>43</v>
      </c>
      <c r="E2221" s="46" t="s">
        <v>44</v>
      </c>
      <c r="F2221" s="46" t="s">
        <v>5217</v>
      </c>
      <c r="G2221" s="46" t="n">
        <f aca="false">+5930968159905</f>
        <v>5930968159905</v>
      </c>
      <c r="H2221" s="46" t="s">
        <v>5218</v>
      </c>
      <c r="I2221" s="46"/>
      <c r="J2221" s="46"/>
      <c r="K2221" s="1" t="s">
        <v>3372</v>
      </c>
      <c r="L2221" s="1"/>
      <c r="M2221" s="1"/>
      <c r="N2221" s="1"/>
      <c r="O2221" s="1"/>
      <c r="P2221" s="6"/>
      <c r="Q2221" s="1"/>
      <c r="R2221" s="1"/>
      <c r="S2221" s="1"/>
      <c r="T2221" s="1"/>
      <c r="U2221" s="1"/>
      <c r="V2221" s="1"/>
      <c r="W2221" s="1"/>
      <c r="X2221" s="1"/>
      <c r="Y2221" s="1"/>
      <c r="Z2221" s="1"/>
    </row>
    <row r="2222" customFormat="false" ht="21.75" hidden="false" customHeight="true" outlineLevel="0" collapsed="false">
      <c r="A2222" s="4" t="n">
        <v>43496</v>
      </c>
      <c r="B2222" s="53" t="s">
        <v>48</v>
      </c>
      <c r="C2222" s="46" t="s">
        <v>15</v>
      </c>
      <c r="D2222" s="46" t="s">
        <v>43</v>
      </c>
      <c r="E2222" s="46" t="s">
        <v>44</v>
      </c>
      <c r="F2222" s="46" t="s">
        <v>5219</v>
      </c>
      <c r="G2222" s="46" t="n">
        <f aca="false">+5930990359378</f>
        <v>5930990359378</v>
      </c>
      <c r="H2222" s="46" t="s">
        <v>5220</v>
      </c>
      <c r="I2222" s="46"/>
      <c r="J2222" s="46"/>
      <c r="K2222" s="1" t="s">
        <v>3372</v>
      </c>
      <c r="L2222" s="1"/>
      <c r="M2222" s="1"/>
      <c r="N2222" s="1"/>
      <c r="O2222" s="1"/>
      <c r="P2222" s="6"/>
      <c r="Q2222" s="1"/>
      <c r="R2222" s="1"/>
      <c r="S2222" s="1"/>
      <c r="T2222" s="1"/>
      <c r="U2222" s="1"/>
      <c r="V2222" s="1"/>
      <c r="W2222" s="1"/>
      <c r="X2222" s="1"/>
      <c r="Y2222" s="1"/>
      <c r="Z2222" s="1"/>
    </row>
    <row r="2223" customFormat="false" ht="21.75" hidden="false" customHeight="true" outlineLevel="0" collapsed="false">
      <c r="A2223" s="4" t="n">
        <v>43496</v>
      </c>
      <c r="B2223" s="53" t="s">
        <v>48</v>
      </c>
      <c r="C2223" s="46" t="s">
        <v>15</v>
      </c>
      <c r="D2223" s="46" t="s">
        <v>43</v>
      </c>
      <c r="E2223" s="46" t="s">
        <v>44</v>
      </c>
      <c r="F2223" s="46" t="s">
        <v>5221</v>
      </c>
      <c r="G2223" s="46" t="n">
        <f aca="false">+593992831930</f>
        <v>593992831930</v>
      </c>
      <c r="H2223" s="46" t="s">
        <v>5222</v>
      </c>
      <c r="I2223" s="46"/>
      <c r="J2223" s="46"/>
      <c r="K2223" s="1" t="s">
        <v>3372</v>
      </c>
      <c r="L2223" s="1"/>
      <c r="M2223" s="1"/>
      <c r="N2223" s="1"/>
      <c r="O2223" s="1"/>
      <c r="P2223" s="6"/>
      <c r="Q2223" s="1"/>
      <c r="R2223" s="1"/>
      <c r="S2223" s="1"/>
      <c r="T2223" s="1"/>
      <c r="U2223" s="1"/>
      <c r="V2223" s="1"/>
      <c r="W2223" s="1"/>
      <c r="X2223" s="1"/>
      <c r="Y2223" s="1"/>
      <c r="Z2223" s="1"/>
    </row>
    <row r="2224" customFormat="false" ht="21.75" hidden="false" customHeight="true" outlineLevel="0" collapsed="false">
      <c r="A2224" s="4" t="n">
        <v>43496</v>
      </c>
      <c r="B2224" s="53" t="s">
        <v>48</v>
      </c>
      <c r="C2224" s="46" t="s">
        <v>15</v>
      </c>
      <c r="D2224" s="46" t="s">
        <v>43</v>
      </c>
      <c r="E2224" s="46" t="s">
        <v>44</v>
      </c>
      <c r="F2224" s="46" t="s">
        <v>5223</v>
      </c>
      <c r="G2224" s="46" t="n">
        <f aca="false">+593994410207</f>
        <v>593994410207</v>
      </c>
      <c r="H2224" s="46" t="s">
        <v>5224</v>
      </c>
      <c r="I2224" s="46"/>
      <c r="J2224" s="46"/>
      <c r="K2224" s="1" t="s">
        <v>3685</v>
      </c>
      <c r="L2224" s="1"/>
      <c r="M2224" s="1"/>
      <c r="N2224" s="1"/>
      <c r="O2224" s="1"/>
      <c r="P2224" s="6"/>
      <c r="Q2224" s="1"/>
      <c r="R2224" s="1"/>
      <c r="S2224" s="1"/>
      <c r="T2224" s="1"/>
      <c r="U2224" s="1"/>
      <c r="V2224" s="1"/>
      <c r="W2224" s="1"/>
      <c r="X2224" s="1"/>
      <c r="Y2224" s="1"/>
      <c r="Z2224" s="1"/>
    </row>
    <row r="2225" customFormat="false" ht="21.75" hidden="false" customHeight="true" outlineLevel="0" collapsed="false">
      <c r="A2225" s="4" t="n">
        <v>43496</v>
      </c>
      <c r="B2225" s="53" t="s">
        <v>48</v>
      </c>
      <c r="C2225" s="46" t="s">
        <v>26</v>
      </c>
      <c r="D2225" s="46" t="s">
        <v>43</v>
      </c>
      <c r="E2225" s="46" t="s">
        <v>44</v>
      </c>
      <c r="F2225" s="46" t="s">
        <v>4851</v>
      </c>
      <c r="G2225" s="46" t="n">
        <f aca="false">+5930993566112</f>
        <v>5930993566112</v>
      </c>
      <c r="H2225" s="46" t="s">
        <v>4852</v>
      </c>
      <c r="I2225" s="46"/>
      <c r="J2225" s="46"/>
      <c r="K2225" s="1" t="s">
        <v>3372</v>
      </c>
      <c r="L2225" s="1"/>
      <c r="M2225" s="1"/>
      <c r="N2225" s="1"/>
      <c r="O2225" s="1"/>
      <c r="P2225" s="6"/>
      <c r="Q2225" s="1"/>
      <c r="R2225" s="1"/>
      <c r="S2225" s="1"/>
      <c r="T2225" s="1"/>
      <c r="U2225" s="1"/>
      <c r="V2225" s="1"/>
      <c r="W2225" s="1"/>
      <c r="X2225" s="1"/>
      <c r="Y2225" s="1"/>
      <c r="Z2225" s="1"/>
    </row>
    <row r="2226" customFormat="false" ht="21.75" hidden="false" customHeight="true" outlineLevel="0" collapsed="false">
      <c r="A2226" s="4" t="n">
        <v>43496</v>
      </c>
      <c r="B2226" s="53" t="s">
        <v>48</v>
      </c>
      <c r="C2226" s="46" t="s">
        <v>15</v>
      </c>
      <c r="D2226" s="46" t="s">
        <v>43</v>
      </c>
      <c r="E2226" s="46" t="s">
        <v>44</v>
      </c>
      <c r="F2226" s="46" t="s">
        <v>5225</v>
      </c>
      <c r="G2226" s="46" t="n">
        <f aca="false">+593987545855</f>
        <v>593987545855</v>
      </c>
      <c r="H2226" s="46" t="s">
        <v>5226</v>
      </c>
      <c r="I2226" s="46"/>
      <c r="J2226" s="46"/>
      <c r="K2226" s="1" t="s">
        <v>3372</v>
      </c>
      <c r="L2226" s="1"/>
      <c r="M2226" s="1"/>
      <c r="N2226" s="1"/>
      <c r="O2226" s="1"/>
      <c r="P2226" s="6"/>
      <c r="Q2226" s="1"/>
      <c r="R2226" s="1"/>
      <c r="S2226" s="1"/>
      <c r="T2226" s="1"/>
      <c r="U2226" s="1"/>
      <c r="V2226" s="1"/>
      <c r="W2226" s="1"/>
      <c r="X2226" s="1"/>
      <c r="Y2226" s="1"/>
      <c r="Z2226" s="1"/>
    </row>
    <row r="2227" customFormat="false" ht="21.75" hidden="false" customHeight="true" outlineLevel="0" collapsed="false">
      <c r="A2227" s="4" t="n">
        <v>43496</v>
      </c>
      <c r="B2227" s="53" t="s">
        <v>48</v>
      </c>
      <c r="C2227" s="46" t="s">
        <v>15</v>
      </c>
      <c r="D2227" s="46" t="s">
        <v>43</v>
      </c>
      <c r="E2227" s="46" t="s">
        <v>44</v>
      </c>
      <c r="F2227" s="46" t="s">
        <v>5227</v>
      </c>
      <c r="G2227" s="46" t="n">
        <f aca="false">+593987680394</f>
        <v>593987680394</v>
      </c>
      <c r="H2227" s="46" t="s">
        <v>5228</v>
      </c>
      <c r="I2227" s="46"/>
      <c r="J2227" s="46"/>
      <c r="K2227" s="1" t="s">
        <v>3372</v>
      </c>
      <c r="L2227" s="1"/>
      <c r="M2227" s="1"/>
      <c r="N2227" s="1"/>
      <c r="O2227" s="1"/>
      <c r="P2227" s="6"/>
      <c r="Q2227" s="1"/>
      <c r="R2227" s="1"/>
      <c r="S2227" s="1"/>
      <c r="T2227" s="1"/>
      <c r="U2227" s="1"/>
      <c r="V2227" s="1"/>
      <c r="W2227" s="1"/>
      <c r="X2227" s="1"/>
      <c r="Y2227" s="1"/>
      <c r="Z2227" s="1"/>
    </row>
    <row r="2228" customFormat="false" ht="21.75" hidden="false" customHeight="true" outlineLevel="0" collapsed="false">
      <c r="A2228" s="4" t="n">
        <v>43496</v>
      </c>
      <c r="B2228" s="53" t="s">
        <v>48</v>
      </c>
      <c r="C2228" s="46" t="s">
        <v>15</v>
      </c>
      <c r="D2228" s="46" t="s">
        <v>43</v>
      </c>
      <c r="E2228" s="46" t="s">
        <v>44</v>
      </c>
      <c r="F2228" s="46" t="s">
        <v>5229</v>
      </c>
      <c r="G2228" s="46" t="n">
        <f aca="false">+5930997150841</f>
        <v>5930997150841</v>
      </c>
      <c r="H2228" s="46" t="s">
        <v>5230</v>
      </c>
      <c r="I2228" s="46"/>
      <c r="J2228" s="46"/>
      <c r="K2228" s="1" t="s">
        <v>3372</v>
      </c>
      <c r="L2228" s="1"/>
      <c r="M2228" s="1"/>
      <c r="N2228" s="1"/>
      <c r="O2228" s="1"/>
      <c r="P2228" s="6"/>
      <c r="Q2228" s="1"/>
      <c r="R2228" s="1"/>
      <c r="S2228" s="1"/>
      <c r="T2228" s="1"/>
      <c r="U2228" s="1"/>
      <c r="V2228" s="1"/>
      <c r="W2228" s="1"/>
      <c r="X2228" s="1"/>
      <c r="Y2228" s="1"/>
      <c r="Z2228" s="1"/>
    </row>
    <row r="2229" customFormat="false" ht="21.75" hidden="false" customHeight="true" outlineLevel="0" collapsed="false">
      <c r="A2229" s="4" t="n">
        <v>43496</v>
      </c>
      <c r="B2229" s="53" t="s">
        <v>48</v>
      </c>
      <c r="C2229" s="46" t="s">
        <v>15</v>
      </c>
      <c r="D2229" s="46" t="s">
        <v>43</v>
      </c>
      <c r="E2229" s="46" t="s">
        <v>44</v>
      </c>
      <c r="F2229" s="46" t="s">
        <v>5231</v>
      </c>
      <c r="G2229" s="46" t="n">
        <f aca="false">+5930995005480</f>
        <v>5930995005480</v>
      </c>
      <c r="H2229" s="46" t="s">
        <v>5232</v>
      </c>
      <c r="I2229" s="46"/>
      <c r="J2229" s="46"/>
      <c r="K2229" s="1" t="s">
        <v>3372</v>
      </c>
      <c r="L2229" s="1"/>
      <c r="M2229" s="1"/>
      <c r="N2229" s="1"/>
      <c r="O2229" s="1"/>
      <c r="P2229" s="6"/>
      <c r="Q2229" s="1"/>
      <c r="R2229" s="1"/>
      <c r="S2229" s="1"/>
      <c r="T2229" s="1"/>
      <c r="U2229" s="1"/>
      <c r="V2229" s="1"/>
      <c r="W2229" s="1"/>
      <c r="X2229" s="1"/>
      <c r="Y2229" s="1"/>
      <c r="Z2229" s="1"/>
    </row>
    <row r="2230" customFormat="false" ht="21.75" hidden="false" customHeight="true" outlineLevel="0" collapsed="false">
      <c r="A2230" s="4" t="n">
        <v>43496</v>
      </c>
      <c r="B2230" s="53" t="s">
        <v>127</v>
      </c>
      <c r="C2230" s="46" t="s">
        <v>26</v>
      </c>
      <c r="D2230" s="46" t="s">
        <v>43</v>
      </c>
      <c r="E2230" s="46" t="s">
        <v>44</v>
      </c>
      <c r="F2230" s="46" t="s">
        <v>5233</v>
      </c>
      <c r="G2230" s="46" t="n">
        <f aca="false">+5930993298140</f>
        <v>5930993298140</v>
      </c>
      <c r="H2230" s="46" t="s">
        <v>5234</v>
      </c>
      <c r="I2230" s="46"/>
      <c r="J2230" s="46"/>
      <c r="K2230" s="1" t="s">
        <v>3404</v>
      </c>
      <c r="L2230" s="1"/>
      <c r="M2230" s="1"/>
      <c r="N2230" s="1"/>
      <c r="O2230" s="1"/>
      <c r="P2230" s="6"/>
      <c r="Q2230" s="1"/>
      <c r="R2230" s="1"/>
      <c r="S2230" s="1"/>
      <c r="T2230" s="1"/>
      <c r="U2230" s="1"/>
      <c r="V2230" s="1"/>
      <c r="W2230" s="1"/>
      <c r="X2230" s="1"/>
      <c r="Y2230" s="1"/>
      <c r="Z2230" s="1"/>
    </row>
    <row r="2231" customFormat="false" ht="21.75" hidden="false" customHeight="true" outlineLevel="0" collapsed="false">
      <c r="A2231" s="4" t="n">
        <v>43496</v>
      </c>
      <c r="B2231" s="53" t="s">
        <v>127</v>
      </c>
      <c r="C2231" s="46" t="s">
        <v>26</v>
      </c>
      <c r="D2231" s="46" t="s">
        <v>43</v>
      </c>
      <c r="E2231" s="46" t="s">
        <v>44</v>
      </c>
      <c r="F2231" s="46" t="s">
        <v>5235</v>
      </c>
      <c r="G2231" s="46" t="n">
        <f aca="false">+593980017151</f>
        <v>593980017151</v>
      </c>
      <c r="H2231" s="46" t="s">
        <v>5236</v>
      </c>
      <c r="I2231" s="46"/>
      <c r="J2231" s="46"/>
      <c r="K2231" s="1" t="s">
        <v>5171</v>
      </c>
      <c r="L2231" s="1"/>
      <c r="M2231" s="1"/>
      <c r="N2231" s="1"/>
      <c r="O2231" s="1"/>
      <c r="P2231" s="6"/>
      <c r="Q2231" s="1"/>
      <c r="R2231" s="1"/>
      <c r="S2231" s="1"/>
      <c r="T2231" s="1"/>
      <c r="U2231" s="1"/>
      <c r="V2231" s="1"/>
      <c r="W2231" s="1"/>
      <c r="X2231" s="1"/>
      <c r="Y2231" s="1"/>
      <c r="Z2231" s="1"/>
    </row>
    <row r="2232" customFormat="false" ht="21.75" hidden="false" customHeight="true" outlineLevel="0" collapsed="false">
      <c r="A2232" s="4" t="n">
        <v>43496</v>
      </c>
      <c r="B2232" s="53" t="s">
        <v>42</v>
      </c>
      <c r="C2232" s="46" t="s">
        <v>15</v>
      </c>
      <c r="D2232" s="46" t="s">
        <v>43</v>
      </c>
      <c r="E2232" s="46" t="s">
        <v>44</v>
      </c>
      <c r="F2232" s="46" t="s">
        <v>5237</v>
      </c>
      <c r="G2232" s="46" t="n">
        <f aca="false">+593998007360</f>
        <v>593998007360</v>
      </c>
      <c r="H2232" s="46" t="s">
        <v>5238</v>
      </c>
      <c r="I2232" s="46"/>
      <c r="J2232" s="46"/>
      <c r="K2232" s="1" t="s">
        <v>3372</v>
      </c>
      <c r="L2232" s="1"/>
      <c r="M2232" s="1"/>
      <c r="N2232" s="1"/>
      <c r="O2232" s="1"/>
      <c r="P2232" s="6"/>
      <c r="Q2232" s="1"/>
      <c r="R2232" s="1"/>
      <c r="S2232" s="1"/>
      <c r="T2232" s="1"/>
      <c r="U2232" s="1"/>
      <c r="V2232" s="1"/>
      <c r="W2232" s="1"/>
      <c r="X2232" s="1"/>
      <c r="Y2232" s="1"/>
      <c r="Z2232" s="1"/>
    </row>
    <row r="2233" customFormat="false" ht="21.75" hidden="false" customHeight="true" outlineLevel="0" collapsed="false">
      <c r="A2233" s="4" t="n">
        <v>43496</v>
      </c>
      <c r="B2233" s="53" t="s">
        <v>42</v>
      </c>
      <c r="C2233" s="46" t="s">
        <v>15</v>
      </c>
      <c r="D2233" s="46" t="s">
        <v>43</v>
      </c>
      <c r="E2233" s="46" t="s">
        <v>44</v>
      </c>
      <c r="F2233" s="46" t="s">
        <v>5239</v>
      </c>
      <c r="G2233" s="46" t="n">
        <f aca="false">+593989090822</f>
        <v>593989090822</v>
      </c>
      <c r="H2233" s="46" t="s">
        <v>5240</v>
      </c>
      <c r="I2233" s="46"/>
      <c r="J2233" s="46"/>
      <c r="K2233" s="1" t="s">
        <v>3372</v>
      </c>
      <c r="L2233" s="1"/>
      <c r="M2233" s="1"/>
      <c r="N2233" s="1"/>
      <c r="O2233" s="1"/>
      <c r="P2233" s="6"/>
      <c r="Q2233" s="1"/>
      <c r="R2233" s="1"/>
      <c r="S2233" s="1"/>
      <c r="T2233" s="1"/>
      <c r="U2233" s="1"/>
      <c r="V2233" s="1"/>
      <c r="W2233" s="1"/>
      <c r="X2233" s="1"/>
      <c r="Y2233" s="1"/>
      <c r="Z2233" s="1"/>
    </row>
    <row r="2234" customFormat="false" ht="21.75" hidden="false" customHeight="true" outlineLevel="0" collapsed="false">
      <c r="A2234" s="4" t="n">
        <v>43496</v>
      </c>
      <c r="B2234" s="53" t="s">
        <v>42</v>
      </c>
      <c r="C2234" s="46" t="s">
        <v>15</v>
      </c>
      <c r="D2234" s="46" t="s">
        <v>43</v>
      </c>
      <c r="E2234" s="46" t="s">
        <v>44</v>
      </c>
      <c r="F2234" s="46" t="s">
        <v>5241</v>
      </c>
      <c r="G2234" s="46" t="n">
        <f aca="false">+593985700750</f>
        <v>593985700750</v>
      </c>
      <c r="H2234" s="46" t="s">
        <v>5242</v>
      </c>
      <c r="I2234" s="46"/>
      <c r="J2234" s="46"/>
      <c r="K2234" s="1" t="s">
        <v>3372</v>
      </c>
      <c r="L2234" s="1"/>
      <c r="M2234" s="1"/>
      <c r="N2234" s="1"/>
      <c r="O2234" s="1"/>
      <c r="P2234" s="6"/>
      <c r="Q2234" s="1"/>
      <c r="R2234" s="1"/>
      <c r="S2234" s="1"/>
      <c r="T2234" s="1"/>
      <c r="U2234" s="1"/>
      <c r="V2234" s="1"/>
      <c r="W2234" s="1"/>
      <c r="X2234" s="1"/>
      <c r="Y2234" s="1"/>
      <c r="Z2234" s="1"/>
    </row>
    <row r="2235" customFormat="false" ht="21.75" hidden="false" customHeight="true" outlineLevel="0" collapsed="false">
      <c r="A2235" s="4" t="n">
        <v>43496</v>
      </c>
      <c r="B2235" s="53" t="s">
        <v>42</v>
      </c>
      <c r="C2235" s="46" t="s">
        <v>26</v>
      </c>
      <c r="D2235" s="46" t="s">
        <v>43</v>
      </c>
      <c r="E2235" s="46" t="s">
        <v>44</v>
      </c>
      <c r="F2235" s="46" t="s">
        <v>5243</v>
      </c>
      <c r="G2235" s="46" t="n">
        <f aca="false">+593993943365</f>
        <v>593993943365</v>
      </c>
      <c r="H2235" s="46" t="s">
        <v>5244</v>
      </c>
      <c r="I2235" s="46"/>
      <c r="J2235" s="46"/>
      <c r="K2235" s="1" t="s">
        <v>3372</v>
      </c>
      <c r="L2235" s="1"/>
      <c r="M2235" s="1"/>
      <c r="N2235" s="1"/>
      <c r="O2235" s="1"/>
      <c r="P2235" s="6"/>
      <c r="Q2235" s="1"/>
      <c r="R2235" s="1"/>
      <c r="S2235" s="1"/>
      <c r="T2235" s="1"/>
      <c r="U2235" s="1"/>
      <c r="V2235" s="1"/>
      <c r="W2235" s="1"/>
      <c r="X2235" s="1"/>
      <c r="Y2235" s="1"/>
      <c r="Z2235" s="1"/>
    </row>
    <row r="2236" customFormat="false" ht="21.75" hidden="false" customHeight="true" outlineLevel="0" collapsed="false">
      <c r="A2236" s="4" t="n">
        <v>43496</v>
      </c>
      <c r="B2236" s="53" t="s">
        <v>42</v>
      </c>
      <c r="C2236" s="46" t="s">
        <v>26</v>
      </c>
      <c r="D2236" s="46" t="s">
        <v>43</v>
      </c>
      <c r="E2236" s="46" t="s">
        <v>44</v>
      </c>
      <c r="F2236" s="46" t="s">
        <v>5245</v>
      </c>
      <c r="G2236" s="46" t="n">
        <f aca="false">+593990562033</f>
        <v>593990562033</v>
      </c>
      <c r="H2236" s="46" t="s">
        <v>5246</v>
      </c>
      <c r="I2236" s="46"/>
      <c r="J2236" s="46"/>
      <c r="K2236" s="1" t="s">
        <v>3372</v>
      </c>
      <c r="L2236" s="1"/>
      <c r="M2236" s="1"/>
      <c r="N2236" s="1"/>
      <c r="O2236" s="1"/>
      <c r="P2236" s="6"/>
      <c r="Q2236" s="1"/>
      <c r="R2236" s="1"/>
      <c r="S2236" s="1"/>
      <c r="T2236" s="1"/>
      <c r="U2236" s="1"/>
      <c r="V2236" s="1"/>
      <c r="W2236" s="1"/>
      <c r="X2236" s="1"/>
      <c r="Y2236" s="1"/>
      <c r="Z2236" s="1"/>
    </row>
    <row r="2237" customFormat="false" ht="21.75" hidden="false" customHeight="true" outlineLevel="0" collapsed="false">
      <c r="A2237" s="4" t="n">
        <v>43496</v>
      </c>
      <c r="B2237" s="53" t="s">
        <v>42</v>
      </c>
      <c r="C2237" s="46" t="s">
        <v>15</v>
      </c>
      <c r="D2237" s="46" t="s">
        <v>43</v>
      </c>
      <c r="E2237" s="46" t="s">
        <v>44</v>
      </c>
      <c r="F2237" s="46" t="s">
        <v>5247</v>
      </c>
      <c r="G2237" s="46" t="n">
        <f aca="false">+593999877765</f>
        <v>593999877765</v>
      </c>
      <c r="H2237" s="46" t="s">
        <v>5248</v>
      </c>
      <c r="I2237" s="46"/>
      <c r="J2237" s="46"/>
      <c r="K2237" s="1" t="s">
        <v>5171</v>
      </c>
      <c r="L2237" s="1"/>
      <c r="M2237" s="1"/>
      <c r="N2237" s="1"/>
      <c r="O2237" s="1"/>
      <c r="P2237" s="6"/>
      <c r="Q2237" s="1"/>
      <c r="R2237" s="1"/>
      <c r="S2237" s="1"/>
      <c r="T2237" s="1"/>
      <c r="U2237" s="1"/>
      <c r="V2237" s="1"/>
      <c r="W2237" s="1"/>
      <c r="X2237" s="1"/>
      <c r="Y2237" s="1"/>
      <c r="Z2237" s="1"/>
    </row>
    <row r="2238" customFormat="false" ht="21.75" hidden="false" customHeight="true" outlineLevel="0" collapsed="false">
      <c r="A2238" s="4" t="n">
        <v>43496</v>
      </c>
      <c r="B2238" s="53" t="s">
        <v>42</v>
      </c>
      <c r="C2238" s="46" t="s">
        <v>15</v>
      </c>
      <c r="D2238" s="46" t="s">
        <v>43</v>
      </c>
      <c r="E2238" s="46" t="s">
        <v>44</v>
      </c>
      <c r="F2238" s="46" t="s">
        <v>3176</v>
      </c>
      <c r="G2238" s="46" t="n">
        <f aca="false">+5930987031780</f>
        <v>5930987031780</v>
      </c>
      <c r="H2238" s="46" t="s">
        <v>3177</v>
      </c>
      <c r="I2238" s="46"/>
      <c r="J2238" s="46"/>
      <c r="K2238" s="1" t="s">
        <v>3372</v>
      </c>
      <c r="L2238" s="1"/>
      <c r="M2238" s="1"/>
      <c r="N2238" s="1"/>
      <c r="O2238" s="1"/>
      <c r="P2238" s="6"/>
      <c r="Q2238" s="1"/>
      <c r="R2238" s="1"/>
      <c r="S2238" s="1"/>
      <c r="T2238" s="1"/>
      <c r="U2238" s="1"/>
      <c r="V2238" s="1"/>
      <c r="W2238" s="1"/>
      <c r="X2238" s="1"/>
      <c r="Y2238" s="1"/>
      <c r="Z2238" s="1"/>
    </row>
    <row r="2239" customFormat="false" ht="21.75" hidden="false" customHeight="true" outlineLevel="0" collapsed="false">
      <c r="A2239" s="4" t="n">
        <v>43496</v>
      </c>
      <c r="B2239" s="53" t="s">
        <v>415</v>
      </c>
      <c r="C2239" s="46" t="s">
        <v>15</v>
      </c>
      <c r="D2239" s="46" t="s">
        <v>43</v>
      </c>
      <c r="E2239" s="46" t="s">
        <v>44</v>
      </c>
      <c r="F2239" s="46" t="s">
        <v>5249</v>
      </c>
      <c r="G2239" s="46" t="n">
        <f aca="false">+5930981263752</f>
        <v>5930981263752</v>
      </c>
      <c r="H2239" s="46" t="s">
        <v>5250</v>
      </c>
      <c r="I2239" s="46"/>
      <c r="J2239" s="46"/>
      <c r="K2239" s="1" t="s">
        <v>3372</v>
      </c>
      <c r="L2239" s="1"/>
      <c r="M2239" s="1"/>
      <c r="N2239" s="1"/>
      <c r="O2239" s="1"/>
      <c r="P2239" s="6"/>
      <c r="Q2239" s="1"/>
      <c r="R2239" s="1"/>
      <c r="S2239" s="1"/>
      <c r="T2239" s="1"/>
      <c r="U2239" s="1"/>
      <c r="V2239" s="1"/>
      <c r="W2239" s="1"/>
      <c r="X2239" s="1"/>
      <c r="Y2239" s="1"/>
      <c r="Z2239" s="1"/>
    </row>
    <row r="2240" customFormat="false" ht="21.75" hidden="false" customHeight="true" outlineLevel="0" collapsed="false">
      <c r="A2240" s="4" t="n">
        <v>43496</v>
      </c>
      <c r="B2240" s="53" t="s">
        <v>178</v>
      </c>
      <c r="C2240" s="46" t="s">
        <v>15</v>
      </c>
      <c r="D2240" s="46" t="s">
        <v>43</v>
      </c>
      <c r="E2240" s="46" t="s">
        <v>44</v>
      </c>
      <c r="F2240" s="46" t="s">
        <v>5251</v>
      </c>
      <c r="G2240" s="46" t="n">
        <f aca="false">+5930990536770</f>
        <v>5930990536770</v>
      </c>
      <c r="H2240" s="46" t="s">
        <v>5252</v>
      </c>
      <c r="I2240" s="46"/>
      <c r="J2240" s="46"/>
      <c r="K2240" s="1" t="s">
        <v>3372</v>
      </c>
      <c r="L2240" s="1"/>
      <c r="M2240" s="1"/>
      <c r="N2240" s="1"/>
      <c r="O2240" s="1"/>
      <c r="P2240" s="6"/>
      <c r="Q2240" s="1"/>
      <c r="R2240" s="1"/>
      <c r="S2240" s="1"/>
      <c r="T2240" s="1"/>
      <c r="U2240" s="1"/>
      <c r="V2240" s="1"/>
      <c r="W2240" s="1"/>
      <c r="X2240" s="1"/>
      <c r="Y2240" s="1"/>
      <c r="Z2240" s="1"/>
    </row>
    <row r="2241" customFormat="false" ht="21.75" hidden="false" customHeight="true" outlineLevel="0" collapsed="false">
      <c r="A2241" s="4" t="n">
        <v>43496</v>
      </c>
      <c r="B2241" s="53" t="s">
        <v>178</v>
      </c>
      <c r="C2241" s="46" t="s">
        <v>15</v>
      </c>
      <c r="D2241" s="46" t="s">
        <v>43</v>
      </c>
      <c r="E2241" s="46" t="s">
        <v>44</v>
      </c>
      <c r="F2241" s="46" t="s">
        <v>5253</v>
      </c>
      <c r="G2241" s="46" t="n">
        <f aca="false">+593982685954</f>
        <v>593982685954</v>
      </c>
      <c r="H2241" s="46" t="s">
        <v>5254</v>
      </c>
      <c r="I2241" s="46"/>
      <c r="J2241" s="46"/>
      <c r="K2241" s="1" t="s">
        <v>3372</v>
      </c>
      <c r="L2241" s="1"/>
      <c r="M2241" s="1"/>
      <c r="N2241" s="1"/>
      <c r="O2241" s="1"/>
      <c r="P2241" s="6"/>
      <c r="Q2241" s="1"/>
      <c r="R2241" s="1"/>
      <c r="S2241" s="1"/>
      <c r="T2241" s="1"/>
      <c r="U2241" s="1"/>
      <c r="V2241" s="1"/>
      <c r="W2241" s="1"/>
      <c r="X2241" s="1"/>
      <c r="Y2241" s="1"/>
      <c r="Z2241" s="1"/>
    </row>
    <row r="2242" customFormat="false" ht="21.75" hidden="false" customHeight="true" outlineLevel="0" collapsed="false">
      <c r="A2242" s="4" t="n">
        <v>43496</v>
      </c>
      <c r="B2242" s="53" t="s">
        <v>178</v>
      </c>
      <c r="C2242" s="46" t="s">
        <v>15</v>
      </c>
      <c r="D2242" s="46" t="s">
        <v>43</v>
      </c>
      <c r="E2242" s="46" t="s">
        <v>44</v>
      </c>
      <c r="F2242" s="46" t="s">
        <v>5255</v>
      </c>
      <c r="G2242" s="46" t="n">
        <f aca="false">+593994116363</f>
        <v>593994116363</v>
      </c>
      <c r="H2242" s="46" t="s">
        <v>5050</v>
      </c>
      <c r="I2242" s="46"/>
      <c r="J2242" s="46"/>
      <c r="K2242" s="1" t="s">
        <v>3372</v>
      </c>
      <c r="L2242" s="1"/>
      <c r="M2242" s="1"/>
      <c r="N2242" s="1"/>
      <c r="O2242" s="1"/>
      <c r="P2242" s="6"/>
      <c r="Q2242" s="1"/>
      <c r="R2242" s="1"/>
      <c r="S2242" s="1"/>
      <c r="T2242" s="1"/>
      <c r="U2242" s="1"/>
      <c r="V2242" s="1"/>
      <c r="W2242" s="1"/>
      <c r="X2242" s="1"/>
      <c r="Y2242" s="1"/>
      <c r="Z2242" s="1"/>
    </row>
    <row r="2243" customFormat="false" ht="21.75" hidden="false" customHeight="true" outlineLevel="0" collapsed="false">
      <c r="A2243" s="4" t="n">
        <v>43496</v>
      </c>
      <c r="B2243" s="53" t="s">
        <v>178</v>
      </c>
      <c r="C2243" s="46" t="s">
        <v>15</v>
      </c>
      <c r="D2243" s="46" t="s">
        <v>43</v>
      </c>
      <c r="E2243" s="46" t="s">
        <v>44</v>
      </c>
      <c r="F2243" s="46" t="s">
        <v>5003</v>
      </c>
      <c r="G2243" s="46" t="n">
        <f aca="false">+593959674934</f>
        <v>593959674934</v>
      </c>
      <c r="H2243" s="46" t="s">
        <v>5004</v>
      </c>
      <c r="I2243" s="46"/>
      <c r="J2243" s="46"/>
      <c r="K2243" s="1" t="s">
        <v>3372</v>
      </c>
      <c r="L2243" s="1"/>
      <c r="M2243" s="1"/>
      <c r="N2243" s="1"/>
      <c r="O2243" s="1"/>
      <c r="P2243" s="6"/>
      <c r="Q2243" s="1"/>
      <c r="R2243" s="1"/>
      <c r="S2243" s="1"/>
      <c r="T2243" s="1"/>
      <c r="U2243" s="1"/>
      <c r="V2243" s="1"/>
      <c r="W2243" s="1"/>
      <c r="X2243" s="1"/>
      <c r="Y2243" s="1"/>
      <c r="Z2243" s="1"/>
    </row>
    <row r="2244" customFormat="false" ht="21.75" hidden="false" customHeight="true" outlineLevel="0" collapsed="false">
      <c r="A2244" s="4" t="n">
        <v>43496</v>
      </c>
      <c r="B2244" s="53" t="s">
        <v>178</v>
      </c>
      <c r="C2244" s="46" t="s">
        <v>15</v>
      </c>
      <c r="D2244" s="46" t="s">
        <v>43</v>
      </c>
      <c r="E2244" s="46" t="s">
        <v>44</v>
      </c>
      <c r="F2244" s="46" t="s">
        <v>5256</v>
      </c>
      <c r="G2244" s="46" t="n">
        <f aca="false">+593992267287</f>
        <v>593992267287</v>
      </c>
      <c r="H2244" s="46" t="s">
        <v>5257</v>
      </c>
      <c r="I2244" s="46"/>
      <c r="J2244" s="46"/>
      <c r="K2244" s="1" t="s">
        <v>3372</v>
      </c>
      <c r="L2244" s="1"/>
      <c r="M2244" s="1"/>
      <c r="N2244" s="1"/>
      <c r="O2244" s="1"/>
      <c r="P2244" s="6"/>
      <c r="Q2244" s="1"/>
      <c r="R2244" s="1"/>
      <c r="S2244" s="1"/>
      <c r="T2244" s="1"/>
      <c r="U2244" s="1"/>
      <c r="V2244" s="1"/>
      <c r="W2244" s="1"/>
      <c r="X2244" s="1"/>
      <c r="Y2244" s="1"/>
      <c r="Z2244" s="1"/>
    </row>
    <row r="2245" customFormat="false" ht="21.75" hidden="false" customHeight="true" outlineLevel="0" collapsed="false">
      <c r="A2245" s="4" t="n">
        <v>43496</v>
      </c>
      <c r="B2245" s="53" t="s">
        <v>81</v>
      </c>
      <c r="C2245" s="46" t="s">
        <v>15</v>
      </c>
      <c r="D2245" s="46" t="s">
        <v>43</v>
      </c>
      <c r="E2245" s="46" t="s">
        <v>44</v>
      </c>
      <c r="F2245" s="46" t="s">
        <v>5258</v>
      </c>
      <c r="G2245" s="46" t="n">
        <f aca="false">+593968151173</f>
        <v>593968151173</v>
      </c>
      <c r="H2245" s="46" t="s">
        <v>5259</v>
      </c>
      <c r="I2245" s="46"/>
      <c r="J2245" s="46"/>
      <c r="K2245" s="1" t="s">
        <v>3372</v>
      </c>
      <c r="L2245" s="1"/>
      <c r="M2245" s="1"/>
      <c r="N2245" s="1"/>
      <c r="O2245" s="1"/>
      <c r="P2245" s="6"/>
      <c r="Q2245" s="1"/>
      <c r="R2245" s="1"/>
      <c r="S2245" s="1"/>
      <c r="T2245" s="1"/>
      <c r="U2245" s="1"/>
      <c r="V2245" s="1"/>
      <c r="W2245" s="1"/>
      <c r="X2245" s="1"/>
      <c r="Y2245" s="1"/>
      <c r="Z2245" s="1"/>
    </row>
    <row r="2246" customFormat="false" ht="21.75" hidden="false" customHeight="true" outlineLevel="0" collapsed="false">
      <c r="A2246" s="4" t="n">
        <v>43496</v>
      </c>
      <c r="B2246" s="53" t="s">
        <v>81</v>
      </c>
      <c r="C2246" s="46" t="s">
        <v>15</v>
      </c>
      <c r="D2246" s="46" t="s">
        <v>43</v>
      </c>
      <c r="E2246" s="46" t="s">
        <v>44</v>
      </c>
      <c r="F2246" s="46" t="s">
        <v>5260</v>
      </c>
      <c r="G2246" s="46" t="n">
        <f aca="false">+593959453048</f>
        <v>593959453048</v>
      </c>
      <c r="H2246" s="46" t="s">
        <v>5261</v>
      </c>
      <c r="I2246" s="46"/>
      <c r="J2246" s="46"/>
      <c r="K2246" s="1" t="s">
        <v>3372</v>
      </c>
      <c r="L2246" s="1"/>
      <c r="M2246" s="1"/>
      <c r="N2246" s="1"/>
      <c r="O2246" s="1"/>
      <c r="P2246" s="6"/>
      <c r="Q2246" s="1"/>
      <c r="R2246" s="1"/>
      <c r="S2246" s="1"/>
      <c r="T2246" s="1"/>
      <c r="U2246" s="1"/>
      <c r="V2246" s="1"/>
      <c r="W2246" s="1"/>
      <c r="X2246" s="1"/>
      <c r="Y2246" s="1"/>
      <c r="Z2246" s="1"/>
    </row>
    <row r="2247" customFormat="false" ht="21.75" hidden="false" customHeight="true" outlineLevel="0" collapsed="false">
      <c r="A2247" s="4" t="n">
        <v>43496</v>
      </c>
      <c r="B2247" s="53" t="s">
        <v>166</v>
      </c>
      <c r="C2247" s="46" t="s">
        <v>15</v>
      </c>
      <c r="D2247" s="46" t="s">
        <v>16</v>
      </c>
      <c r="E2247" s="46" t="s">
        <v>17</v>
      </c>
      <c r="F2247" s="46" t="s">
        <v>5262</v>
      </c>
      <c r="G2247" s="46" t="n">
        <f aca="false">+593988922377</f>
        <v>593988922377</v>
      </c>
      <c r="H2247" s="46" t="s">
        <v>5263</v>
      </c>
      <c r="I2247" s="46"/>
      <c r="J2247" s="46"/>
      <c r="K2247" s="1" t="s">
        <v>3372</v>
      </c>
      <c r="L2247" s="1" t="s">
        <v>3372</v>
      </c>
      <c r="M2247" s="1"/>
      <c r="N2247" s="1"/>
      <c r="O2247" s="1"/>
      <c r="P2247" s="6"/>
      <c r="Q2247" s="1"/>
      <c r="R2247" s="1"/>
      <c r="S2247" s="1"/>
      <c r="T2247" s="1"/>
      <c r="U2247" s="1"/>
      <c r="V2247" s="1"/>
      <c r="W2247" s="1"/>
      <c r="X2247" s="1"/>
      <c r="Y2247" s="1"/>
      <c r="Z2247" s="1"/>
    </row>
    <row r="2248" customFormat="false" ht="21.75" hidden="false" customHeight="true" outlineLevel="0" collapsed="false">
      <c r="A2248" s="4" t="n">
        <v>43496</v>
      </c>
      <c r="B2248" s="53" t="s">
        <v>166</v>
      </c>
      <c r="C2248" s="46" t="s">
        <v>15</v>
      </c>
      <c r="D2248" s="46" t="s">
        <v>16</v>
      </c>
      <c r="E2248" s="46" t="s">
        <v>17</v>
      </c>
      <c r="F2248" s="46" t="s">
        <v>5264</v>
      </c>
      <c r="G2248" s="46" t="n">
        <f aca="false">+593985980305</f>
        <v>593985980305</v>
      </c>
      <c r="H2248" s="46" t="s">
        <v>5265</v>
      </c>
      <c r="I2248" s="46"/>
      <c r="J2248" s="46"/>
      <c r="K2248" s="1" t="s">
        <v>3372</v>
      </c>
      <c r="L2248" s="1" t="s">
        <v>5266</v>
      </c>
      <c r="M2248" s="1"/>
      <c r="N2248" s="1"/>
      <c r="O2248" s="1"/>
      <c r="P2248" s="6"/>
      <c r="Q2248" s="1"/>
      <c r="R2248" s="1"/>
      <c r="S2248" s="1"/>
      <c r="T2248" s="1"/>
      <c r="U2248" s="1"/>
      <c r="V2248" s="1"/>
      <c r="W2248" s="1"/>
      <c r="X2248" s="1"/>
      <c r="Y2248" s="1"/>
      <c r="Z2248" s="1"/>
    </row>
    <row r="2249" customFormat="false" ht="21.75" hidden="false" customHeight="true" outlineLevel="0" collapsed="false">
      <c r="A2249" s="4" t="n">
        <v>43496</v>
      </c>
      <c r="B2249" s="53" t="s">
        <v>86</v>
      </c>
      <c r="C2249" s="46" t="s">
        <v>15</v>
      </c>
      <c r="D2249" s="46" t="s">
        <v>16</v>
      </c>
      <c r="E2249" s="46" t="s">
        <v>17</v>
      </c>
      <c r="F2249" s="46" t="s">
        <v>5267</v>
      </c>
      <c r="G2249" s="46" t="n">
        <f aca="false">+5930998517840</f>
        <v>5930998517840</v>
      </c>
      <c r="H2249" s="46" t="s">
        <v>5268</v>
      </c>
      <c r="I2249" s="46"/>
      <c r="J2249" s="46"/>
      <c r="K2249" s="1" t="s">
        <v>3372</v>
      </c>
      <c r="L2249" s="1" t="s">
        <v>5269</v>
      </c>
      <c r="M2249" s="1"/>
      <c r="N2249" s="1"/>
      <c r="O2249" s="1"/>
      <c r="P2249" s="6"/>
      <c r="Q2249" s="1"/>
      <c r="R2249" s="1"/>
      <c r="S2249" s="1"/>
      <c r="T2249" s="1"/>
      <c r="U2249" s="1"/>
      <c r="V2249" s="1"/>
      <c r="W2249" s="1"/>
      <c r="X2249" s="1"/>
      <c r="Y2249" s="1"/>
      <c r="Z2249" s="1"/>
    </row>
    <row r="2250" customFormat="false" ht="21.75" hidden="false" customHeight="true" outlineLevel="0" collapsed="false">
      <c r="A2250" s="4" t="n">
        <v>43496</v>
      </c>
      <c r="B2250" s="53" t="s">
        <v>86</v>
      </c>
      <c r="C2250" s="46" t="s">
        <v>15</v>
      </c>
      <c r="D2250" s="46" t="s">
        <v>16</v>
      </c>
      <c r="E2250" s="46" t="s">
        <v>17</v>
      </c>
      <c r="F2250" s="46" t="s">
        <v>5270</v>
      </c>
      <c r="G2250" s="46" t="n">
        <f aca="false">+593981831219</f>
        <v>593981831219</v>
      </c>
      <c r="H2250" s="46" t="s">
        <v>5271</v>
      </c>
      <c r="I2250" s="46"/>
      <c r="J2250" s="46"/>
      <c r="K2250" s="1" t="s">
        <v>3380</v>
      </c>
      <c r="L2250" s="1" t="s">
        <v>3372</v>
      </c>
      <c r="M2250" s="1"/>
      <c r="N2250" s="1"/>
      <c r="O2250" s="1"/>
      <c r="P2250" s="6"/>
      <c r="Q2250" s="1"/>
      <c r="R2250" s="1"/>
      <c r="S2250" s="1"/>
      <c r="T2250" s="1"/>
      <c r="U2250" s="1"/>
      <c r="V2250" s="1"/>
      <c r="W2250" s="1"/>
      <c r="X2250" s="1"/>
      <c r="Y2250" s="1"/>
      <c r="Z2250" s="1"/>
    </row>
    <row r="2251" customFormat="false" ht="21.75" hidden="false" customHeight="true" outlineLevel="0" collapsed="false">
      <c r="A2251" s="4" t="n">
        <v>43496</v>
      </c>
      <c r="B2251" s="46" t="s">
        <v>108</v>
      </c>
      <c r="C2251" s="46" t="s">
        <v>15</v>
      </c>
      <c r="D2251" s="46" t="s">
        <v>16</v>
      </c>
      <c r="E2251" s="46" t="s">
        <v>109</v>
      </c>
      <c r="F2251" s="46" t="s">
        <v>5272</v>
      </c>
      <c r="G2251" s="46" t="n">
        <f aca="false">+593991077168</f>
        <v>593991077168</v>
      </c>
      <c r="H2251" s="46" t="s">
        <v>5273</v>
      </c>
      <c r="I2251" s="46"/>
      <c r="J2251" s="46"/>
      <c r="K2251" s="1" t="s">
        <v>5274</v>
      </c>
      <c r="L2251" s="1" t="s">
        <v>3372</v>
      </c>
      <c r="M2251" s="1"/>
      <c r="N2251" s="1"/>
      <c r="O2251" s="1"/>
      <c r="P2251" s="6"/>
      <c r="Q2251" s="1"/>
      <c r="R2251" s="1"/>
      <c r="S2251" s="1"/>
      <c r="T2251" s="1"/>
      <c r="U2251" s="1"/>
      <c r="V2251" s="1"/>
      <c r="W2251" s="1"/>
      <c r="X2251" s="1"/>
      <c r="Y2251" s="1"/>
      <c r="Z2251" s="1"/>
    </row>
    <row r="2252" customFormat="false" ht="21.75" hidden="false" customHeight="true" outlineLevel="0" collapsed="false">
      <c r="A2252" s="4" t="n">
        <v>43496</v>
      </c>
      <c r="B2252" s="53" t="s">
        <v>911</v>
      </c>
      <c r="C2252" s="46" t="s">
        <v>15</v>
      </c>
      <c r="D2252" s="46" t="s">
        <v>16</v>
      </c>
      <c r="E2252" s="46" t="s">
        <v>17</v>
      </c>
      <c r="F2252" s="46" t="s">
        <v>5275</v>
      </c>
      <c r="G2252" s="46" t="n">
        <f aca="false">+5930983577075</f>
        <v>5930983577075</v>
      </c>
      <c r="H2252" s="46" t="s">
        <v>5276</v>
      </c>
      <c r="I2252" s="46"/>
      <c r="J2252" s="46"/>
      <c r="K2252" s="1" t="s">
        <v>3372</v>
      </c>
      <c r="L2252" s="1" t="s">
        <v>3372</v>
      </c>
      <c r="M2252" s="1"/>
      <c r="N2252" s="1"/>
      <c r="O2252" s="1"/>
      <c r="P2252" s="6"/>
      <c r="Q2252" s="1"/>
      <c r="R2252" s="1"/>
      <c r="S2252" s="1"/>
      <c r="T2252" s="1"/>
      <c r="U2252" s="1"/>
      <c r="V2252" s="1"/>
      <c r="W2252" s="1"/>
      <c r="X2252" s="1"/>
      <c r="Y2252" s="1"/>
      <c r="Z2252" s="1"/>
    </row>
    <row r="2253" customFormat="false" ht="21.75" hidden="false" customHeight="true" outlineLevel="0" collapsed="false">
      <c r="A2253" s="4" t="n">
        <v>43496</v>
      </c>
      <c r="B2253" s="53" t="s">
        <v>14</v>
      </c>
      <c r="C2253" s="46" t="s">
        <v>15</v>
      </c>
      <c r="D2253" s="46" t="s">
        <v>16</v>
      </c>
      <c r="E2253" s="46" t="s">
        <v>17</v>
      </c>
      <c r="F2253" s="46" t="s">
        <v>5277</v>
      </c>
      <c r="G2253" s="46" t="n">
        <f aca="false">+593981095231</f>
        <v>593981095231</v>
      </c>
      <c r="H2253" s="46" t="s">
        <v>5278</v>
      </c>
      <c r="I2253" s="46"/>
      <c r="J2253" s="46"/>
      <c r="K2253" s="1" t="s">
        <v>3372</v>
      </c>
      <c r="L2253" s="1" t="s">
        <v>3372</v>
      </c>
      <c r="M2253" s="1"/>
      <c r="N2253" s="1"/>
      <c r="O2253" s="1"/>
      <c r="P2253" s="6"/>
      <c r="Q2253" s="1"/>
      <c r="R2253" s="1"/>
      <c r="S2253" s="1"/>
      <c r="T2253" s="1"/>
      <c r="U2253" s="1"/>
      <c r="V2253" s="1"/>
      <c r="W2253" s="1"/>
      <c r="X2253" s="1"/>
      <c r="Y2253" s="1"/>
      <c r="Z2253" s="1"/>
    </row>
    <row r="2254" customFormat="false" ht="21.75" hidden="false" customHeight="true" outlineLevel="0" collapsed="false">
      <c r="A2254" s="4" t="n">
        <v>43496</v>
      </c>
      <c r="B2254" s="53" t="s">
        <v>14</v>
      </c>
      <c r="C2254" s="46" t="s">
        <v>15</v>
      </c>
      <c r="D2254" s="46" t="s">
        <v>16</v>
      </c>
      <c r="E2254" s="46" t="s">
        <v>17</v>
      </c>
      <c r="F2254" s="46" t="s">
        <v>5279</v>
      </c>
      <c r="G2254" s="46" t="n">
        <f aca="false">+5930995389179</f>
        <v>5930995389179</v>
      </c>
      <c r="H2254" s="46" t="s">
        <v>5280</v>
      </c>
      <c r="I2254" s="46"/>
      <c r="J2254" s="46"/>
      <c r="K2254" s="1" t="s">
        <v>3380</v>
      </c>
      <c r="L2254" s="1" t="s">
        <v>3372</v>
      </c>
      <c r="M2254" s="1"/>
      <c r="N2254" s="1"/>
      <c r="O2254" s="1"/>
      <c r="P2254" s="6"/>
      <c r="Q2254" s="1"/>
      <c r="R2254" s="1"/>
      <c r="S2254" s="1"/>
      <c r="T2254" s="1"/>
      <c r="U2254" s="1"/>
      <c r="V2254" s="1"/>
      <c r="W2254" s="1"/>
      <c r="X2254" s="1"/>
      <c r="Y2254" s="1"/>
      <c r="Z2254" s="1"/>
    </row>
    <row r="2255" customFormat="false" ht="21.75" hidden="false" customHeight="true" outlineLevel="0" collapsed="false">
      <c r="A2255" s="4" t="n">
        <v>43496</v>
      </c>
      <c r="B2255" s="53" t="s">
        <v>14</v>
      </c>
      <c r="C2255" s="46" t="s">
        <v>15</v>
      </c>
      <c r="D2255" s="46" t="s">
        <v>16</v>
      </c>
      <c r="E2255" s="46" t="s">
        <v>17</v>
      </c>
      <c r="F2255" s="46" t="s">
        <v>5281</v>
      </c>
      <c r="G2255" s="46" t="n">
        <f aca="false">+593982432454</f>
        <v>593982432454</v>
      </c>
      <c r="H2255" s="46" t="s">
        <v>5282</v>
      </c>
      <c r="I2255" s="46"/>
      <c r="J2255" s="46"/>
      <c r="K2255" s="1" t="s">
        <v>3372</v>
      </c>
      <c r="L2255" s="1" t="s">
        <v>3372</v>
      </c>
      <c r="M2255" s="1" t="s">
        <v>3372</v>
      </c>
      <c r="N2255" s="1"/>
      <c r="O2255" s="1"/>
      <c r="P2255" s="6"/>
      <c r="Q2255" s="1"/>
      <c r="R2255" s="1"/>
      <c r="S2255" s="1"/>
      <c r="T2255" s="1"/>
      <c r="U2255" s="1"/>
      <c r="V2255" s="1"/>
      <c r="W2255" s="1"/>
      <c r="X2255" s="1"/>
      <c r="Y2255" s="1"/>
      <c r="Z2255" s="1"/>
    </row>
    <row r="2256" customFormat="false" ht="21.75" hidden="false" customHeight="true" outlineLevel="0" collapsed="false">
      <c r="A2256" s="4" t="n">
        <v>43496</v>
      </c>
      <c r="B2256" s="53" t="s">
        <v>48</v>
      </c>
      <c r="C2256" s="46" t="s">
        <v>15</v>
      </c>
      <c r="D2256" s="46" t="s">
        <v>43</v>
      </c>
      <c r="E2256" s="46" t="s">
        <v>44</v>
      </c>
      <c r="F2256" s="46" t="s">
        <v>3469</v>
      </c>
      <c r="G2256" s="46" t="n">
        <v>989483579</v>
      </c>
      <c r="H2256" s="46" t="s">
        <v>5283</v>
      </c>
      <c r="I2256" s="62"/>
      <c r="J2256" s="1"/>
      <c r="K2256" s="1" t="s">
        <v>5284</v>
      </c>
      <c r="L2256" s="1"/>
      <c r="M2256" s="1"/>
      <c r="N2256" s="1"/>
      <c r="O2256" s="1"/>
      <c r="P2256" s="6"/>
      <c r="Q2256" s="1"/>
      <c r="R2256" s="1"/>
      <c r="S2256" s="1"/>
      <c r="T2256" s="1"/>
      <c r="U2256" s="1"/>
      <c r="V2256" s="1"/>
      <c r="W2256" s="1"/>
      <c r="X2256" s="1"/>
      <c r="Y2256" s="1"/>
      <c r="Z2256" s="1"/>
    </row>
    <row r="2257" customFormat="false" ht="21.75" hidden="false" customHeight="true" outlineLevel="0" collapsed="false">
      <c r="A2257" s="4" t="n">
        <v>43496</v>
      </c>
      <c r="B2257" s="53" t="s">
        <v>352</v>
      </c>
      <c r="C2257" s="46" t="s">
        <v>15</v>
      </c>
      <c r="D2257" s="46" t="s">
        <v>43</v>
      </c>
      <c r="E2257" s="46" t="s">
        <v>883</v>
      </c>
      <c r="F2257" s="46" t="s">
        <v>5037</v>
      </c>
      <c r="G2257" s="46" t="n">
        <v>987948378</v>
      </c>
      <c r="H2257" s="46" t="s">
        <v>5038</v>
      </c>
      <c r="I2257" s="63"/>
      <c r="J2257" s="1"/>
      <c r="K2257" s="1" t="s">
        <v>5195</v>
      </c>
      <c r="L2257" s="1"/>
      <c r="M2257" s="1"/>
      <c r="N2257" s="1"/>
      <c r="O2257" s="1"/>
      <c r="P2257" s="6"/>
      <c r="Q2257" s="1"/>
      <c r="R2257" s="1"/>
      <c r="S2257" s="1"/>
      <c r="T2257" s="1"/>
      <c r="U2257" s="1"/>
      <c r="V2257" s="1"/>
      <c r="W2257" s="1"/>
      <c r="X2257" s="1"/>
      <c r="Y2257" s="1"/>
      <c r="Z2257" s="1"/>
    </row>
    <row r="2258" customFormat="false" ht="21.75" hidden="false" customHeight="true" outlineLevel="0" collapsed="false">
      <c r="A2258" s="4" t="n">
        <v>43496</v>
      </c>
      <c r="B2258" s="53" t="s">
        <v>48</v>
      </c>
      <c r="C2258" s="46" t="s">
        <v>15</v>
      </c>
      <c r="D2258" s="46" t="s">
        <v>43</v>
      </c>
      <c r="E2258" s="46" t="s">
        <v>883</v>
      </c>
      <c r="F2258" s="46" t="s">
        <v>5285</v>
      </c>
      <c r="G2258" s="46"/>
      <c r="H2258" s="46" t="s">
        <v>5286</v>
      </c>
      <c r="I2258" s="52"/>
      <c r="J2258" s="1"/>
      <c r="K2258" s="1" t="s">
        <v>5287</v>
      </c>
      <c r="L2258" s="1"/>
      <c r="M2258" s="1"/>
      <c r="N2258" s="1"/>
      <c r="O2258" s="1"/>
      <c r="P2258" s="6"/>
      <c r="Q2258" s="1"/>
      <c r="R2258" s="1"/>
      <c r="S2258" s="1"/>
      <c r="T2258" s="1"/>
      <c r="U2258" s="1"/>
      <c r="V2258" s="1"/>
      <c r="W2258" s="1"/>
      <c r="X2258" s="1"/>
      <c r="Y2258" s="1"/>
      <c r="Z2258" s="1"/>
    </row>
    <row r="2259" customFormat="false" ht="21.75" hidden="false" customHeight="true" outlineLevel="0" collapsed="false">
      <c r="A2259" s="4" t="n">
        <v>43496</v>
      </c>
      <c r="B2259" s="53" t="s">
        <v>48</v>
      </c>
      <c r="C2259" s="46" t="s">
        <v>15</v>
      </c>
      <c r="D2259" s="46" t="s">
        <v>43</v>
      </c>
      <c r="E2259" s="46" t="s">
        <v>109</v>
      </c>
      <c r="F2259" s="46" t="s">
        <v>5288</v>
      </c>
      <c r="G2259" s="46" t="n">
        <v>993082322</v>
      </c>
      <c r="H2259" s="46" t="s">
        <v>5289</v>
      </c>
      <c r="I2259" s="53"/>
      <c r="J2259" s="1"/>
      <c r="K2259" s="64" t="s">
        <v>3372</v>
      </c>
      <c r="L2259" s="1"/>
      <c r="M2259" s="1"/>
      <c r="N2259" s="1"/>
      <c r="O2259" s="1"/>
      <c r="P2259" s="6"/>
      <c r="Q2259" s="1"/>
      <c r="R2259" s="1"/>
      <c r="S2259" s="1"/>
      <c r="T2259" s="1"/>
      <c r="U2259" s="1"/>
      <c r="V2259" s="1"/>
      <c r="W2259" s="1"/>
      <c r="X2259" s="1"/>
      <c r="Y2259" s="1"/>
      <c r="Z2259" s="1"/>
    </row>
    <row r="2260" customFormat="false" ht="21.75" hidden="false" customHeight="true" outlineLevel="0" collapsed="false">
      <c r="A2260" s="4" t="n">
        <v>43496</v>
      </c>
      <c r="B2260" s="53" t="s">
        <v>48</v>
      </c>
      <c r="C2260" s="46" t="s">
        <v>15</v>
      </c>
      <c r="D2260" s="46" t="s">
        <v>43</v>
      </c>
      <c r="E2260" s="46" t="s">
        <v>109</v>
      </c>
      <c r="F2260" s="46" t="s">
        <v>5290</v>
      </c>
      <c r="G2260" s="46" t="n">
        <v>961230701</v>
      </c>
      <c r="H2260" s="46" t="s">
        <v>5291</v>
      </c>
      <c r="I2260" s="52"/>
      <c r="J2260" s="1"/>
      <c r="K2260" s="1" t="s">
        <v>5292</v>
      </c>
      <c r="L2260" s="1"/>
      <c r="M2260" s="1"/>
      <c r="N2260" s="1"/>
      <c r="O2260" s="1"/>
      <c r="P2260" s="6"/>
      <c r="Q2260" s="1"/>
      <c r="R2260" s="1"/>
      <c r="S2260" s="1"/>
      <c r="T2260" s="1"/>
      <c r="U2260" s="1"/>
      <c r="V2260" s="1"/>
      <c r="W2260" s="1"/>
      <c r="X2260" s="1"/>
      <c r="Y2260" s="1"/>
      <c r="Z2260" s="1"/>
    </row>
    <row r="2261" customFormat="false" ht="21.75" hidden="false" customHeight="true" outlineLevel="0" collapsed="false">
      <c r="A2261" s="4" t="n">
        <v>43496</v>
      </c>
      <c r="B2261" s="53" t="s">
        <v>48</v>
      </c>
      <c r="C2261" s="46" t="s">
        <v>15</v>
      </c>
      <c r="D2261" s="46" t="s">
        <v>43</v>
      </c>
      <c r="E2261" s="46" t="s">
        <v>109</v>
      </c>
      <c r="F2261" s="46" t="s">
        <v>5293</v>
      </c>
      <c r="G2261" s="46"/>
      <c r="H2261" s="46" t="s">
        <v>5294</v>
      </c>
      <c r="I2261" s="53"/>
      <c r="J2261" s="1"/>
      <c r="K2261" s="1" t="s">
        <v>5292</v>
      </c>
      <c r="L2261" s="1"/>
      <c r="M2261" s="1"/>
      <c r="N2261" s="1"/>
      <c r="O2261" s="1"/>
      <c r="P2261" s="6"/>
      <c r="Q2261" s="1"/>
      <c r="R2261" s="1"/>
      <c r="S2261" s="1"/>
      <c r="T2261" s="1"/>
      <c r="U2261" s="1"/>
      <c r="V2261" s="1"/>
      <c r="W2261" s="1"/>
      <c r="X2261" s="1"/>
      <c r="Y2261" s="1"/>
      <c r="Z2261" s="1"/>
    </row>
    <row r="2262" customFormat="false" ht="21.75" hidden="false" customHeight="true" outlineLevel="0" collapsed="false">
      <c r="A2262" s="4" t="n">
        <v>43496</v>
      </c>
      <c r="B2262" s="53" t="s">
        <v>48</v>
      </c>
      <c r="C2262" s="46" t="s">
        <v>15</v>
      </c>
      <c r="D2262" s="46" t="s">
        <v>43</v>
      </c>
      <c r="E2262" s="46" t="s">
        <v>109</v>
      </c>
      <c r="F2262" s="46" t="s">
        <v>5295</v>
      </c>
      <c r="G2262" s="46" t="n">
        <v>960846944</v>
      </c>
      <c r="H2262" s="46" t="s">
        <v>5296</v>
      </c>
      <c r="I2262" s="52"/>
      <c r="J2262" s="1"/>
      <c r="K2262" s="1" t="s">
        <v>3372</v>
      </c>
      <c r="L2262" s="1"/>
      <c r="M2262" s="1"/>
      <c r="N2262" s="1"/>
      <c r="O2262" s="1"/>
      <c r="P2262" s="6"/>
      <c r="Q2262" s="1"/>
      <c r="R2262" s="1"/>
      <c r="S2262" s="1"/>
      <c r="T2262" s="1"/>
      <c r="U2262" s="1"/>
      <c r="V2262" s="1"/>
      <c r="W2262" s="1"/>
      <c r="X2262" s="1"/>
      <c r="Y2262" s="1"/>
      <c r="Z2262" s="1"/>
    </row>
    <row r="2263" customFormat="false" ht="21.75" hidden="false" customHeight="true" outlineLevel="0" collapsed="false">
      <c r="A2263" s="4" t="n">
        <v>43496</v>
      </c>
      <c r="B2263" s="53" t="s">
        <v>1831</v>
      </c>
      <c r="C2263" s="46" t="s">
        <v>15</v>
      </c>
      <c r="D2263" s="46" t="s">
        <v>43</v>
      </c>
      <c r="E2263" s="46" t="s">
        <v>109</v>
      </c>
      <c r="F2263" s="46" t="s">
        <v>5297</v>
      </c>
      <c r="G2263" s="46"/>
      <c r="H2263" s="65" t="s">
        <v>5298</v>
      </c>
      <c r="I2263" s="54"/>
      <c r="J2263" s="1"/>
      <c r="K2263" s="1" t="s">
        <v>5292</v>
      </c>
      <c r="L2263" s="1"/>
      <c r="M2263" s="1"/>
      <c r="N2263" s="1"/>
      <c r="O2263" s="1"/>
      <c r="P2263" s="6"/>
      <c r="Q2263" s="1"/>
      <c r="R2263" s="1"/>
      <c r="S2263" s="1"/>
      <c r="T2263" s="1"/>
      <c r="U2263" s="1"/>
      <c r="V2263" s="1"/>
      <c r="W2263" s="1"/>
      <c r="X2263" s="1"/>
      <c r="Y2263" s="1"/>
      <c r="Z2263" s="1"/>
    </row>
    <row r="2264" customFormat="false" ht="21.75" hidden="false" customHeight="true" outlineLevel="0" collapsed="false">
      <c r="A2264" s="4" t="n">
        <v>43496</v>
      </c>
      <c r="B2264" s="53" t="s">
        <v>1114</v>
      </c>
      <c r="C2264" s="46" t="s">
        <v>15</v>
      </c>
      <c r="D2264" s="46" t="s">
        <v>43</v>
      </c>
      <c r="E2264" s="46" t="s">
        <v>109</v>
      </c>
      <c r="F2264" s="46" t="s">
        <v>5299</v>
      </c>
      <c r="G2264" s="46" t="n">
        <v>960905264</v>
      </c>
      <c r="H2264" s="46" t="s">
        <v>5300</v>
      </c>
      <c r="I2264" s="52"/>
      <c r="J2264" s="1"/>
      <c r="K2264" s="1" t="s">
        <v>3623</v>
      </c>
      <c r="L2264" s="1"/>
      <c r="M2264" s="1"/>
      <c r="N2264" s="1"/>
      <c r="O2264" s="1"/>
      <c r="P2264" s="6"/>
      <c r="Q2264" s="1"/>
      <c r="R2264" s="1"/>
      <c r="S2264" s="1"/>
      <c r="T2264" s="1"/>
      <c r="U2264" s="1"/>
      <c r="V2264" s="1"/>
      <c r="W2264" s="1"/>
      <c r="X2264" s="1"/>
      <c r="Y2264" s="1"/>
      <c r="Z2264" s="1"/>
    </row>
    <row r="2265" customFormat="false" ht="21.75" hidden="false" customHeight="true" outlineLevel="0" collapsed="false">
      <c r="A2265" s="4" t="n">
        <v>43496</v>
      </c>
      <c r="B2265" s="53" t="s">
        <v>48</v>
      </c>
      <c r="C2265" s="46" t="s">
        <v>15</v>
      </c>
      <c r="D2265" s="46" t="s">
        <v>43</v>
      </c>
      <c r="E2265" s="46" t="s">
        <v>109</v>
      </c>
      <c r="F2265" s="46" t="s">
        <v>5301</v>
      </c>
      <c r="G2265" s="46" t="n">
        <v>960067815</v>
      </c>
      <c r="H2265" s="46" t="s">
        <v>5302</v>
      </c>
      <c r="I2265" s="52"/>
      <c r="J2265" s="1"/>
      <c r="K2265" s="1" t="s">
        <v>3372</v>
      </c>
      <c r="L2265" s="1"/>
      <c r="M2265" s="1"/>
      <c r="N2265" s="1"/>
      <c r="O2265" s="1"/>
      <c r="P2265" s="6"/>
      <c r="Q2265" s="1"/>
      <c r="R2265" s="1"/>
      <c r="S2265" s="1"/>
      <c r="T2265" s="1"/>
      <c r="U2265" s="1"/>
      <c r="V2265" s="1"/>
      <c r="W2265" s="1"/>
      <c r="X2265" s="1"/>
      <c r="Y2265" s="1"/>
      <c r="Z2265" s="1"/>
    </row>
    <row r="2266" customFormat="false" ht="21.75" hidden="false" customHeight="true" outlineLevel="0" collapsed="false">
      <c r="A2266" s="4" t="n">
        <v>43496</v>
      </c>
      <c r="B2266" s="53" t="s">
        <v>48</v>
      </c>
      <c r="C2266" s="46" t="s">
        <v>15</v>
      </c>
      <c r="D2266" s="46" t="s">
        <v>43</v>
      </c>
      <c r="E2266" s="46" t="s">
        <v>109</v>
      </c>
      <c r="F2266" s="46" t="s">
        <v>5303</v>
      </c>
      <c r="G2266" s="46" t="n">
        <v>988384463</v>
      </c>
      <c r="H2266" s="46"/>
      <c r="I2266" s="53"/>
      <c r="J2266" s="1"/>
      <c r="K2266" s="1" t="s">
        <v>3372</v>
      </c>
      <c r="L2266" s="1"/>
      <c r="M2266" s="1"/>
      <c r="N2266" s="1"/>
      <c r="O2266" s="1"/>
      <c r="P2266" s="6"/>
      <c r="Q2266" s="1"/>
      <c r="R2266" s="1"/>
      <c r="S2266" s="1"/>
      <c r="T2266" s="1"/>
      <c r="U2266" s="1"/>
      <c r="V2266" s="1"/>
      <c r="W2266" s="1"/>
      <c r="X2266" s="1"/>
      <c r="Y2266" s="1"/>
      <c r="Z2266" s="1"/>
    </row>
    <row r="2267" customFormat="false" ht="21.75" hidden="false" customHeight="true" outlineLevel="0" collapsed="false">
      <c r="A2267" s="4" t="n">
        <v>43496</v>
      </c>
      <c r="B2267" s="53" t="s">
        <v>48</v>
      </c>
      <c r="C2267" s="46" t="s">
        <v>15</v>
      </c>
      <c r="D2267" s="46" t="s">
        <v>43</v>
      </c>
      <c r="E2267" s="46" t="s">
        <v>109</v>
      </c>
      <c r="F2267" s="46" t="s">
        <v>5304</v>
      </c>
      <c r="G2267" s="46" t="n">
        <v>987109447</v>
      </c>
      <c r="H2267" s="46" t="s">
        <v>5305</v>
      </c>
      <c r="I2267" s="52"/>
      <c r="J2267" s="1"/>
      <c r="K2267" s="1" t="s">
        <v>3372</v>
      </c>
      <c r="L2267" s="1"/>
      <c r="M2267" s="1"/>
      <c r="N2267" s="1"/>
      <c r="O2267" s="1"/>
      <c r="P2267" s="6"/>
      <c r="Q2267" s="1"/>
      <c r="R2267" s="1"/>
      <c r="S2267" s="1"/>
      <c r="T2267" s="1"/>
      <c r="U2267" s="1"/>
      <c r="V2267" s="1"/>
      <c r="W2267" s="1"/>
      <c r="X2267" s="1"/>
      <c r="Y2267" s="1"/>
      <c r="Z2267" s="1"/>
    </row>
    <row r="2268" customFormat="false" ht="21.75" hidden="false" customHeight="true" outlineLevel="0" collapsed="false">
      <c r="A2268" s="4" t="n">
        <v>43496</v>
      </c>
      <c r="B2268" s="53" t="s">
        <v>48</v>
      </c>
      <c r="C2268" s="46" t="s">
        <v>15</v>
      </c>
      <c r="D2268" s="46" t="s">
        <v>43</v>
      </c>
      <c r="E2268" s="46" t="s">
        <v>109</v>
      </c>
      <c r="F2268" s="46" t="s">
        <v>5306</v>
      </c>
      <c r="G2268" s="46" t="n">
        <v>988134051</v>
      </c>
      <c r="H2268" s="46" t="s">
        <v>5307</v>
      </c>
      <c r="I2268" s="52"/>
      <c r="J2268" s="1"/>
      <c r="K2268" s="1" t="s">
        <v>3518</v>
      </c>
      <c r="L2268" s="1"/>
      <c r="M2268" s="1"/>
      <c r="N2268" s="1"/>
      <c r="O2268" s="1"/>
      <c r="P2268" s="6"/>
      <c r="Q2268" s="1"/>
      <c r="R2268" s="1"/>
      <c r="S2268" s="1"/>
      <c r="T2268" s="1"/>
      <c r="U2268" s="1"/>
      <c r="V2268" s="1"/>
      <c r="W2268" s="1"/>
      <c r="X2268" s="1"/>
      <c r="Y2268" s="1"/>
      <c r="Z2268" s="1"/>
    </row>
    <row r="2269" customFormat="false" ht="21.75" hidden="false" customHeight="true" outlineLevel="0" collapsed="false">
      <c r="A2269" s="4" t="n">
        <v>43496</v>
      </c>
      <c r="B2269" s="53" t="s">
        <v>1114</v>
      </c>
      <c r="C2269" s="46" t="s">
        <v>15</v>
      </c>
      <c r="D2269" s="46" t="s">
        <v>43</v>
      </c>
      <c r="E2269" s="46" t="s">
        <v>883</v>
      </c>
      <c r="F2269" s="46" t="s">
        <v>5308</v>
      </c>
      <c r="G2269" s="46" t="n">
        <v>985941984</v>
      </c>
      <c r="H2269" s="46" t="s">
        <v>5309</v>
      </c>
      <c r="I2269" s="52"/>
      <c r="J2269" s="1"/>
      <c r="K2269" s="1" t="s">
        <v>3372</v>
      </c>
      <c r="L2269" s="1"/>
      <c r="M2269" s="1"/>
      <c r="N2269" s="1"/>
      <c r="O2269" s="1"/>
      <c r="P2269" s="6"/>
      <c r="Q2269" s="1"/>
      <c r="R2269" s="1"/>
      <c r="S2269" s="1"/>
      <c r="T2269" s="1"/>
      <c r="U2269" s="1"/>
      <c r="V2269" s="1"/>
      <c r="W2269" s="1"/>
      <c r="X2269" s="1"/>
      <c r="Y2269" s="1"/>
      <c r="Z2269" s="1"/>
    </row>
    <row r="2270" customFormat="false" ht="21.75" hidden="false" customHeight="true" outlineLevel="0" collapsed="false">
      <c r="A2270" s="4" t="n">
        <v>43496</v>
      </c>
      <c r="B2270" s="53" t="s">
        <v>48</v>
      </c>
      <c r="C2270" s="46" t="s">
        <v>15</v>
      </c>
      <c r="D2270" s="46" t="s">
        <v>43</v>
      </c>
      <c r="E2270" s="46" t="s">
        <v>883</v>
      </c>
      <c r="F2270" s="46" t="s">
        <v>5310</v>
      </c>
      <c r="G2270" s="46" t="n">
        <v>982724046</v>
      </c>
      <c r="H2270" s="46" t="s">
        <v>5311</v>
      </c>
      <c r="I2270" s="52"/>
      <c r="J2270" s="1"/>
      <c r="K2270" s="1" t="s">
        <v>5171</v>
      </c>
      <c r="L2270" s="1"/>
      <c r="M2270" s="1"/>
      <c r="N2270" s="1"/>
      <c r="O2270" s="1"/>
      <c r="P2270" s="6"/>
      <c r="Q2270" s="1"/>
      <c r="R2270" s="1"/>
      <c r="S2270" s="1"/>
      <c r="T2270" s="1"/>
      <c r="U2270" s="1"/>
      <c r="V2270" s="1"/>
      <c r="W2270" s="1"/>
      <c r="X2270" s="1"/>
      <c r="Y2270" s="1"/>
      <c r="Z2270" s="1"/>
    </row>
    <row r="2271" customFormat="false" ht="21.75" hidden="false" customHeight="true" outlineLevel="0" collapsed="false">
      <c r="A2271" s="4" t="n">
        <v>43496</v>
      </c>
      <c r="B2271" s="53" t="s">
        <v>42</v>
      </c>
      <c r="C2271" s="46" t="s">
        <v>15</v>
      </c>
      <c r="D2271" s="46" t="s">
        <v>43</v>
      </c>
      <c r="E2271" s="46" t="s">
        <v>109</v>
      </c>
      <c r="F2271" s="46" t="s">
        <v>5312</v>
      </c>
      <c r="G2271" s="46" t="n">
        <v>980741550</v>
      </c>
      <c r="H2271" s="46" t="s">
        <v>5313</v>
      </c>
      <c r="I2271" s="52"/>
      <c r="J2271" s="1"/>
      <c r="K2271" s="1" t="s">
        <v>5195</v>
      </c>
      <c r="L2271" s="1"/>
      <c r="M2271" s="1"/>
      <c r="N2271" s="1"/>
      <c r="O2271" s="1"/>
      <c r="P2271" s="6"/>
      <c r="Q2271" s="1"/>
      <c r="R2271" s="1"/>
      <c r="S2271" s="1"/>
      <c r="T2271" s="1"/>
      <c r="U2271" s="1"/>
      <c r="V2271" s="1"/>
      <c r="W2271" s="1"/>
      <c r="X2271" s="1"/>
      <c r="Y2271" s="1"/>
      <c r="Z2271" s="1"/>
    </row>
    <row r="2272" customFormat="false" ht="21.75" hidden="false" customHeight="true" outlineLevel="0" collapsed="false">
      <c r="A2272" s="4" t="n">
        <v>43496</v>
      </c>
      <c r="B2272" s="53" t="s">
        <v>323</v>
      </c>
      <c r="C2272" s="46" t="s">
        <v>15</v>
      </c>
      <c r="D2272" s="46" t="s">
        <v>43</v>
      </c>
      <c r="E2272" s="46" t="s">
        <v>109</v>
      </c>
      <c r="F2272" s="46" t="s">
        <v>5314</v>
      </c>
      <c r="G2272" s="46" t="n">
        <v>979884413</v>
      </c>
      <c r="H2272" s="46" t="s">
        <v>5315</v>
      </c>
      <c r="I2272" s="52"/>
      <c r="J2272" s="1"/>
      <c r="K2272" s="1" t="s">
        <v>3372</v>
      </c>
      <c r="L2272" s="1"/>
      <c r="M2272" s="1"/>
      <c r="N2272" s="1"/>
      <c r="O2272" s="1"/>
      <c r="P2272" s="6"/>
      <c r="Q2272" s="1"/>
      <c r="R2272" s="1"/>
      <c r="S2272" s="1"/>
      <c r="T2272" s="1"/>
      <c r="U2272" s="1"/>
      <c r="V2272" s="1"/>
      <c r="W2272" s="1"/>
      <c r="X2272" s="1"/>
      <c r="Y2272" s="1"/>
      <c r="Z2272" s="1"/>
    </row>
    <row r="2273" customFormat="false" ht="21.75" hidden="false" customHeight="true" outlineLevel="0" collapsed="false">
      <c r="A2273" s="4" t="n">
        <v>43496</v>
      </c>
      <c r="B2273" s="53" t="s">
        <v>415</v>
      </c>
      <c r="C2273" s="46" t="s">
        <v>15</v>
      </c>
      <c r="D2273" s="46" t="s">
        <v>43</v>
      </c>
      <c r="E2273" s="46" t="s">
        <v>883</v>
      </c>
      <c r="F2273" s="46" t="s">
        <v>5316</v>
      </c>
      <c r="G2273" s="46" t="n">
        <v>994796804</v>
      </c>
      <c r="H2273" s="65" t="s">
        <v>5317</v>
      </c>
      <c r="I2273" s="54"/>
      <c r="J2273" s="1"/>
      <c r="K2273" s="1" t="s">
        <v>5171</v>
      </c>
      <c r="L2273" s="1"/>
      <c r="M2273" s="1"/>
      <c r="N2273" s="1"/>
      <c r="O2273" s="1"/>
      <c r="P2273" s="6"/>
      <c r="Q2273" s="1"/>
      <c r="R2273" s="1"/>
      <c r="S2273" s="1"/>
      <c r="T2273" s="1"/>
      <c r="U2273" s="1"/>
      <c r="V2273" s="1"/>
      <c r="W2273" s="1"/>
      <c r="X2273" s="1"/>
      <c r="Y2273" s="1"/>
      <c r="Z2273" s="1"/>
    </row>
    <row r="2274" customFormat="false" ht="21.75" hidden="false" customHeight="true" outlineLevel="0" collapsed="false">
      <c r="A2274" s="4" t="n">
        <v>43496</v>
      </c>
      <c r="B2274" s="53" t="s">
        <v>48</v>
      </c>
      <c r="C2274" s="46" t="s">
        <v>15</v>
      </c>
      <c r="D2274" s="46" t="s">
        <v>43</v>
      </c>
      <c r="E2274" s="46" t="s">
        <v>109</v>
      </c>
      <c r="F2274" s="46" t="s">
        <v>5318</v>
      </c>
      <c r="G2274" s="46" t="n">
        <v>967696305</v>
      </c>
      <c r="H2274" s="46" t="s">
        <v>5319</v>
      </c>
      <c r="I2274" s="52"/>
      <c r="J2274" s="1"/>
      <c r="K2274" s="1" t="s">
        <v>5320</v>
      </c>
      <c r="L2274" s="1"/>
      <c r="M2274" s="1"/>
      <c r="N2274" s="1"/>
      <c r="O2274" s="1"/>
      <c r="P2274" s="6"/>
      <c r="Q2274" s="1"/>
      <c r="R2274" s="1"/>
      <c r="S2274" s="1"/>
      <c r="T2274" s="1"/>
      <c r="U2274" s="1"/>
      <c r="V2274" s="1"/>
      <c r="W2274" s="1"/>
      <c r="X2274" s="1"/>
      <c r="Y2274" s="1"/>
      <c r="Z2274" s="1"/>
    </row>
    <row r="2275" customFormat="false" ht="21.75" hidden="false" customHeight="true" outlineLevel="0" collapsed="false">
      <c r="A2275" s="4" t="n">
        <v>43496</v>
      </c>
      <c r="B2275" s="53" t="s">
        <v>1114</v>
      </c>
      <c r="C2275" s="46" t="s">
        <v>15</v>
      </c>
      <c r="D2275" s="46" t="s">
        <v>43</v>
      </c>
      <c r="E2275" s="46" t="s">
        <v>109</v>
      </c>
      <c r="F2275" s="46" t="s">
        <v>5321</v>
      </c>
      <c r="G2275" s="46"/>
      <c r="H2275" s="46" t="s">
        <v>5322</v>
      </c>
      <c r="I2275" s="66"/>
      <c r="J2275" s="1"/>
      <c r="K2275" s="1" t="s">
        <v>21</v>
      </c>
      <c r="L2275" s="1"/>
      <c r="M2275" s="1"/>
      <c r="N2275" s="1"/>
      <c r="O2275" s="1"/>
      <c r="P2275" s="6"/>
      <c r="Q2275" s="1"/>
      <c r="R2275" s="1"/>
      <c r="S2275" s="1"/>
      <c r="T2275" s="1"/>
      <c r="U2275" s="1"/>
      <c r="V2275" s="1"/>
      <c r="W2275" s="1"/>
      <c r="X2275" s="1"/>
      <c r="Y2275" s="1"/>
      <c r="Z2275" s="1"/>
    </row>
    <row r="2276" customFormat="false" ht="21.75" hidden="false" customHeight="true" outlineLevel="0" collapsed="false">
      <c r="A2276" s="4" t="n">
        <v>43496</v>
      </c>
      <c r="B2276" s="53" t="s">
        <v>48</v>
      </c>
      <c r="C2276" s="46" t="s">
        <v>15</v>
      </c>
      <c r="D2276" s="46" t="s">
        <v>43</v>
      </c>
      <c r="E2276" s="46" t="s">
        <v>44</v>
      </c>
      <c r="F2276" s="46" t="s">
        <v>5323</v>
      </c>
      <c r="G2276" s="46" t="n">
        <v>980847072</v>
      </c>
      <c r="H2276" s="46" t="s">
        <v>5324</v>
      </c>
      <c r="I2276" s="52"/>
      <c r="J2276" s="1"/>
      <c r="K2276" s="1" t="s">
        <v>21</v>
      </c>
      <c r="L2276" s="1"/>
      <c r="M2276" s="1"/>
      <c r="N2276" s="1"/>
      <c r="O2276" s="1"/>
      <c r="P2276" s="6"/>
      <c r="Q2276" s="1"/>
      <c r="R2276" s="1"/>
      <c r="S2276" s="1"/>
      <c r="T2276" s="1"/>
      <c r="U2276" s="1"/>
      <c r="V2276" s="1"/>
      <c r="W2276" s="1"/>
      <c r="X2276" s="1"/>
      <c r="Y2276" s="1"/>
      <c r="Z2276" s="1"/>
    </row>
    <row r="2277" customFormat="false" ht="21.75" hidden="false" customHeight="true" outlineLevel="0" collapsed="false">
      <c r="A2277" s="4" t="n">
        <v>43496</v>
      </c>
      <c r="B2277" s="53" t="s">
        <v>48</v>
      </c>
      <c r="C2277" s="46" t="s">
        <v>15</v>
      </c>
      <c r="D2277" s="46" t="s">
        <v>43</v>
      </c>
      <c r="E2277" s="46" t="s">
        <v>109</v>
      </c>
      <c r="F2277" s="46" t="s">
        <v>5325</v>
      </c>
      <c r="G2277" s="46" t="n">
        <v>988630881</v>
      </c>
      <c r="H2277" s="46" t="s">
        <v>5326</v>
      </c>
      <c r="I2277" s="52"/>
      <c r="J2277" s="1"/>
      <c r="K2277" s="1" t="s">
        <v>21</v>
      </c>
      <c r="L2277" s="1"/>
      <c r="M2277" s="1"/>
      <c r="N2277" s="1"/>
      <c r="O2277" s="1"/>
      <c r="P2277" s="6"/>
      <c r="Q2277" s="1"/>
      <c r="R2277" s="1"/>
      <c r="S2277" s="1"/>
      <c r="T2277" s="1"/>
      <c r="U2277" s="1"/>
      <c r="V2277" s="1"/>
      <c r="W2277" s="1"/>
      <c r="X2277" s="1"/>
      <c r="Y2277" s="1"/>
      <c r="Z2277" s="1"/>
    </row>
    <row r="2278" customFormat="false" ht="21.75" hidden="false" customHeight="true" outlineLevel="0" collapsed="false">
      <c r="A2278" s="4" t="n">
        <v>43497</v>
      </c>
      <c r="B2278" s="53" t="s">
        <v>48</v>
      </c>
      <c r="C2278" s="46" t="s">
        <v>15</v>
      </c>
      <c r="D2278" s="46" t="s">
        <v>43</v>
      </c>
      <c r="E2278" s="46" t="s">
        <v>883</v>
      </c>
      <c r="F2278" s="46" t="s">
        <v>5327</v>
      </c>
      <c r="G2278" s="46" t="e">
        <f aca="false">+K2278 593989747572</f>
        <v>#VALUE!</v>
      </c>
      <c r="H2278" s="46" t="s">
        <v>5328</v>
      </c>
      <c r="I2278" s="46"/>
      <c r="J2278" s="1"/>
      <c r="K2278" s="1" t="s">
        <v>5329</v>
      </c>
      <c r="L2278" s="1"/>
      <c r="M2278" s="1"/>
      <c r="N2278" s="1"/>
      <c r="O2278" s="1"/>
      <c r="P2278" s="6"/>
      <c r="Q2278" s="1"/>
      <c r="R2278" s="1"/>
      <c r="S2278" s="1"/>
      <c r="T2278" s="1"/>
      <c r="U2278" s="1"/>
      <c r="V2278" s="1"/>
      <c r="W2278" s="1"/>
      <c r="X2278" s="1"/>
      <c r="Y2278" s="1"/>
      <c r="Z2278" s="1"/>
    </row>
    <row r="2279" customFormat="false" ht="21.75" hidden="false" customHeight="true" outlineLevel="0" collapsed="false">
      <c r="A2279" s="4" t="n">
        <v>43497</v>
      </c>
      <c r="B2279" s="53" t="s">
        <v>352</v>
      </c>
      <c r="C2279" s="46" t="s">
        <v>15</v>
      </c>
      <c r="D2279" s="46" t="s">
        <v>43</v>
      </c>
      <c r="E2279" s="46" t="s">
        <v>883</v>
      </c>
      <c r="F2279" s="46" t="s">
        <v>5330</v>
      </c>
      <c r="G2279" s="46" t="e">
        <f aca="false">+K2279 593985739198</f>
        <v>#VALUE!</v>
      </c>
      <c r="H2279" s="46" t="s">
        <v>5331</v>
      </c>
      <c r="I2279" s="46"/>
      <c r="J2279" s="1"/>
      <c r="K2279" s="1" t="s">
        <v>1156</v>
      </c>
      <c r="L2279" s="1"/>
      <c r="M2279" s="1"/>
      <c r="N2279" s="1"/>
      <c r="O2279" s="1"/>
      <c r="P2279" s="6"/>
      <c r="Q2279" s="1"/>
      <c r="R2279" s="1"/>
      <c r="S2279" s="1"/>
      <c r="T2279" s="1"/>
      <c r="U2279" s="1"/>
      <c r="V2279" s="1"/>
      <c r="W2279" s="1"/>
      <c r="X2279" s="1"/>
      <c r="Y2279" s="1"/>
      <c r="Z2279" s="1"/>
    </row>
    <row r="2280" customFormat="false" ht="21.75" hidden="false" customHeight="true" outlineLevel="0" collapsed="false">
      <c r="A2280" s="4" t="n">
        <v>43497</v>
      </c>
      <c r="B2280" s="53" t="s">
        <v>1114</v>
      </c>
      <c r="C2280" s="46" t="s">
        <v>15</v>
      </c>
      <c r="D2280" s="46" t="s">
        <v>43</v>
      </c>
      <c r="E2280" s="46" t="s">
        <v>883</v>
      </c>
      <c r="F2280" s="46" t="s">
        <v>5332</v>
      </c>
      <c r="G2280" s="46" t="n">
        <f aca="false">+593983998131</f>
        <v>593983998131</v>
      </c>
      <c r="H2280" s="46" t="s">
        <v>5333</v>
      </c>
      <c r="I2280" s="46"/>
      <c r="J2280" s="1"/>
      <c r="K2280" s="1" t="s">
        <v>5334</v>
      </c>
      <c r="L2280" s="1"/>
      <c r="M2280" s="1"/>
      <c r="N2280" s="1"/>
      <c r="O2280" s="1"/>
      <c r="P2280" s="6"/>
      <c r="Q2280" s="1"/>
      <c r="R2280" s="1"/>
      <c r="S2280" s="1"/>
      <c r="T2280" s="1"/>
      <c r="U2280" s="1"/>
      <c r="V2280" s="1"/>
      <c r="W2280" s="1"/>
      <c r="X2280" s="1"/>
      <c r="Y2280" s="1"/>
      <c r="Z2280" s="1"/>
    </row>
    <row r="2281" customFormat="false" ht="21.75" hidden="false" customHeight="true" outlineLevel="0" collapsed="false">
      <c r="A2281" s="4" t="n">
        <v>43497</v>
      </c>
      <c r="B2281" s="53" t="s">
        <v>48</v>
      </c>
      <c r="C2281" s="46" t="s">
        <v>15</v>
      </c>
      <c r="D2281" s="46" t="s">
        <v>43</v>
      </c>
      <c r="E2281" s="46" t="s">
        <v>883</v>
      </c>
      <c r="F2281" s="46" t="s">
        <v>5335</v>
      </c>
      <c r="G2281" s="46" t="n">
        <f aca="false">+593993151890</f>
        <v>593993151890</v>
      </c>
      <c r="H2281" s="46" t="s">
        <v>5336</v>
      </c>
      <c r="I2281" s="46"/>
      <c r="J2281" s="1"/>
      <c r="K2281" s="1" t="s">
        <v>1156</v>
      </c>
      <c r="L2281" s="1" t="s">
        <v>1156</v>
      </c>
      <c r="M2281" s="1"/>
      <c r="N2281" s="1"/>
      <c r="O2281" s="1"/>
      <c r="P2281" s="6"/>
      <c r="Q2281" s="1"/>
      <c r="R2281" s="1"/>
      <c r="S2281" s="1"/>
      <c r="T2281" s="1"/>
      <c r="U2281" s="1"/>
      <c r="V2281" s="1"/>
      <c r="W2281" s="1"/>
      <c r="X2281" s="1"/>
      <c r="Y2281" s="1"/>
      <c r="Z2281" s="1"/>
    </row>
    <row r="2282" customFormat="false" ht="21.75" hidden="false" customHeight="true" outlineLevel="0" collapsed="false">
      <c r="A2282" s="4" t="n">
        <v>43497</v>
      </c>
      <c r="B2282" s="53" t="s">
        <v>48</v>
      </c>
      <c r="C2282" s="46" t="s">
        <v>15</v>
      </c>
      <c r="D2282" s="46" t="s">
        <v>43</v>
      </c>
      <c r="E2282" s="46" t="s">
        <v>883</v>
      </c>
      <c r="F2282" s="46" t="s">
        <v>5337</v>
      </c>
      <c r="G2282" s="46" t="n">
        <f aca="false">+593991525769</f>
        <v>593991525769</v>
      </c>
      <c r="H2282" s="46" t="s">
        <v>5338</v>
      </c>
      <c r="I2282" s="46"/>
      <c r="J2282" s="1"/>
      <c r="K2282" s="1" t="s">
        <v>1149</v>
      </c>
      <c r="L2282" s="1" t="s">
        <v>1156</v>
      </c>
      <c r="M2282" s="1"/>
      <c r="N2282" s="1"/>
      <c r="O2282" s="1"/>
      <c r="P2282" s="6"/>
      <c r="Q2282" s="1"/>
      <c r="R2282" s="1"/>
      <c r="S2282" s="1"/>
      <c r="T2282" s="1"/>
      <c r="U2282" s="1"/>
      <c r="V2282" s="1"/>
      <c r="W2282" s="1"/>
      <c r="X2282" s="1"/>
      <c r="Y2282" s="1"/>
      <c r="Z2282" s="1"/>
    </row>
    <row r="2283" customFormat="false" ht="21.75" hidden="false" customHeight="true" outlineLevel="0" collapsed="false">
      <c r="A2283" s="4" t="n">
        <v>43497</v>
      </c>
      <c r="B2283" s="53" t="s">
        <v>352</v>
      </c>
      <c r="C2283" s="46" t="s">
        <v>15</v>
      </c>
      <c r="D2283" s="46" t="s">
        <v>43</v>
      </c>
      <c r="E2283" s="46" t="s">
        <v>883</v>
      </c>
      <c r="F2283" s="46" t="s">
        <v>5339</v>
      </c>
      <c r="G2283" s="46" t="n">
        <f aca="false">+593991747145</f>
        <v>593991747145</v>
      </c>
      <c r="H2283" s="46" t="s">
        <v>5340</v>
      </c>
      <c r="I2283" s="46"/>
      <c r="J2283" s="1"/>
      <c r="K2283" s="1" t="s">
        <v>1149</v>
      </c>
      <c r="L2283" s="1" t="s">
        <v>5341</v>
      </c>
      <c r="M2283" s="1"/>
      <c r="N2283" s="1"/>
      <c r="O2283" s="1"/>
      <c r="P2283" s="6"/>
      <c r="Q2283" s="1"/>
      <c r="R2283" s="1"/>
      <c r="S2283" s="1"/>
      <c r="T2283" s="1"/>
      <c r="U2283" s="1"/>
      <c r="V2283" s="1"/>
      <c r="W2283" s="1"/>
      <c r="X2283" s="1"/>
      <c r="Y2283" s="1"/>
      <c r="Z2283" s="1"/>
    </row>
    <row r="2284" customFormat="false" ht="21.75" hidden="false" customHeight="true" outlineLevel="0" collapsed="false">
      <c r="A2284" s="4" t="n">
        <v>43497</v>
      </c>
      <c r="B2284" s="53" t="s">
        <v>48</v>
      </c>
      <c r="C2284" s="46" t="s">
        <v>15</v>
      </c>
      <c r="D2284" s="46" t="s">
        <v>43</v>
      </c>
      <c r="E2284" s="46" t="s">
        <v>883</v>
      </c>
      <c r="F2284" s="46" t="s">
        <v>5342</v>
      </c>
      <c r="G2284" s="46" t="n">
        <f aca="false">+5930992423171</f>
        <v>5930992423171</v>
      </c>
      <c r="H2284" s="46" t="s">
        <v>5343</v>
      </c>
      <c r="I2284" s="46"/>
      <c r="J2284" s="1"/>
      <c r="K2284" s="1" t="s">
        <v>1156</v>
      </c>
      <c r="L2284" s="1" t="s">
        <v>5344</v>
      </c>
      <c r="M2284" s="1"/>
      <c r="N2284" s="1"/>
      <c r="O2284" s="1"/>
      <c r="P2284" s="6"/>
      <c r="Q2284" s="1"/>
      <c r="R2284" s="1"/>
      <c r="S2284" s="1"/>
      <c r="T2284" s="1"/>
      <c r="U2284" s="1"/>
      <c r="V2284" s="1"/>
      <c r="W2284" s="1"/>
      <c r="X2284" s="1"/>
      <c r="Y2284" s="1"/>
      <c r="Z2284" s="1"/>
    </row>
    <row r="2285" customFormat="false" ht="21.75" hidden="false" customHeight="true" outlineLevel="0" collapsed="false">
      <c r="A2285" s="4" t="n">
        <v>43497</v>
      </c>
      <c r="B2285" s="53" t="s">
        <v>48</v>
      </c>
      <c r="C2285" s="46" t="s">
        <v>15</v>
      </c>
      <c r="D2285" s="46" t="s">
        <v>43</v>
      </c>
      <c r="E2285" s="46" t="s">
        <v>883</v>
      </c>
      <c r="F2285" s="46" t="s">
        <v>5345</v>
      </c>
      <c r="G2285" s="46" t="n">
        <f aca="false">+593991920509</f>
        <v>593991920509</v>
      </c>
      <c r="H2285" s="46" t="s">
        <v>5346</v>
      </c>
      <c r="I2285" s="46"/>
      <c r="J2285" s="1"/>
      <c r="K2285" s="1" t="s">
        <v>5347</v>
      </c>
      <c r="L2285" s="1"/>
      <c r="M2285" s="1"/>
      <c r="N2285" s="1"/>
      <c r="O2285" s="1"/>
      <c r="P2285" s="6"/>
      <c r="Q2285" s="1"/>
      <c r="R2285" s="1"/>
      <c r="S2285" s="1"/>
      <c r="T2285" s="1"/>
      <c r="U2285" s="1"/>
      <c r="V2285" s="1"/>
      <c r="W2285" s="1"/>
      <c r="X2285" s="1"/>
      <c r="Y2285" s="1"/>
      <c r="Z2285" s="1"/>
    </row>
    <row r="2286" customFormat="false" ht="21.75" hidden="false" customHeight="true" outlineLevel="0" collapsed="false">
      <c r="A2286" s="4" t="n">
        <v>43497</v>
      </c>
      <c r="B2286" s="53" t="s">
        <v>127</v>
      </c>
      <c r="C2286" s="46" t="s">
        <v>15</v>
      </c>
      <c r="D2286" s="46" t="s">
        <v>43</v>
      </c>
      <c r="E2286" s="46" t="s">
        <v>883</v>
      </c>
      <c r="F2286" s="46" t="s">
        <v>5348</v>
      </c>
      <c r="G2286" s="46" t="n">
        <f aca="false">+593988787509</f>
        <v>593988787509</v>
      </c>
      <c r="H2286" s="46" t="s">
        <v>3026</v>
      </c>
      <c r="I2286" s="46"/>
      <c r="J2286" s="1"/>
      <c r="K2286" s="1" t="s">
        <v>5349</v>
      </c>
      <c r="L2286" s="1"/>
      <c r="M2286" s="1"/>
      <c r="N2286" s="1"/>
      <c r="O2286" s="1"/>
      <c r="P2286" s="6"/>
      <c r="Q2286" s="1"/>
      <c r="R2286" s="1"/>
      <c r="S2286" s="1"/>
      <c r="T2286" s="1"/>
      <c r="U2286" s="1"/>
      <c r="V2286" s="1"/>
      <c r="W2286" s="1"/>
      <c r="X2286" s="1"/>
      <c r="Y2286" s="1"/>
      <c r="Z2286" s="1"/>
    </row>
    <row r="2287" customFormat="false" ht="21.75" hidden="false" customHeight="true" outlineLevel="0" collapsed="false">
      <c r="A2287" s="4" t="n">
        <v>43497</v>
      </c>
      <c r="B2287" s="53" t="s">
        <v>48</v>
      </c>
      <c r="C2287" s="46" t="s">
        <v>15</v>
      </c>
      <c r="D2287" s="46" t="s">
        <v>43</v>
      </c>
      <c r="E2287" s="46" t="s">
        <v>883</v>
      </c>
      <c r="F2287" s="46" t="s">
        <v>5350</v>
      </c>
      <c r="G2287" s="46" t="n">
        <f aca="false">+593990058397</f>
        <v>593990058397</v>
      </c>
      <c r="H2287" s="46" t="s">
        <v>5351</v>
      </c>
      <c r="I2287" s="46"/>
      <c r="J2287" s="1"/>
      <c r="K2287" s="1" t="s">
        <v>5352</v>
      </c>
      <c r="L2287" s="1"/>
      <c r="M2287" s="1"/>
      <c r="N2287" s="1"/>
      <c r="O2287" s="1"/>
      <c r="P2287" s="6"/>
      <c r="Q2287" s="1"/>
      <c r="R2287" s="1"/>
      <c r="S2287" s="1"/>
      <c r="T2287" s="1"/>
      <c r="U2287" s="1"/>
      <c r="V2287" s="1"/>
      <c r="W2287" s="1"/>
      <c r="X2287" s="1"/>
      <c r="Y2287" s="1"/>
      <c r="Z2287" s="1"/>
    </row>
    <row r="2288" customFormat="false" ht="21.75" hidden="false" customHeight="true" outlineLevel="0" collapsed="false">
      <c r="A2288" s="4" t="n">
        <v>43497</v>
      </c>
      <c r="B2288" s="53" t="s">
        <v>352</v>
      </c>
      <c r="C2288" s="46" t="s">
        <v>15</v>
      </c>
      <c r="D2288" s="46" t="s">
        <v>43</v>
      </c>
      <c r="E2288" s="46" t="s">
        <v>883</v>
      </c>
      <c r="F2288" s="46" t="s">
        <v>5353</v>
      </c>
      <c r="G2288" s="46" t="n">
        <f aca="false">+593992043797</f>
        <v>593992043797</v>
      </c>
      <c r="H2288" s="46" t="s">
        <v>5354</v>
      </c>
      <c r="I2288" s="46"/>
      <c r="J2288" s="1"/>
      <c r="K2288" s="1" t="s">
        <v>5355</v>
      </c>
      <c r="L2288" s="1"/>
      <c r="M2288" s="1"/>
      <c r="N2288" s="1"/>
      <c r="O2288" s="1"/>
      <c r="P2288" s="6"/>
      <c r="Q2288" s="1"/>
      <c r="R2288" s="1"/>
      <c r="S2288" s="1"/>
      <c r="T2288" s="1"/>
      <c r="U2288" s="1"/>
      <c r="V2288" s="1"/>
      <c r="W2288" s="1"/>
      <c r="X2288" s="1"/>
      <c r="Y2288" s="1"/>
      <c r="Z2288" s="1"/>
    </row>
    <row r="2289" customFormat="false" ht="21.75" hidden="false" customHeight="true" outlineLevel="0" collapsed="false">
      <c r="A2289" s="4" t="n">
        <v>43497</v>
      </c>
      <c r="B2289" s="53" t="s">
        <v>48</v>
      </c>
      <c r="C2289" s="46" t="s">
        <v>26</v>
      </c>
      <c r="D2289" s="46" t="s">
        <v>43</v>
      </c>
      <c r="E2289" s="46" t="s">
        <v>883</v>
      </c>
      <c r="F2289" s="46" t="s">
        <v>5356</v>
      </c>
      <c r="G2289" s="46" t="n">
        <f aca="false">+593994552945</f>
        <v>593994552945</v>
      </c>
      <c r="H2289" s="46" t="s">
        <v>5357</v>
      </c>
      <c r="I2289" s="46"/>
      <c r="J2289" s="1"/>
      <c r="K2289" s="1" t="s">
        <v>5358</v>
      </c>
      <c r="L2289" s="1"/>
      <c r="M2289" s="1"/>
      <c r="N2289" s="1"/>
      <c r="O2289" s="1"/>
      <c r="P2289" s="6"/>
      <c r="Q2289" s="1"/>
      <c r="R2289" s="1"/>
      <c r="S2289" s="1"/>
      <c r="T2289" s="1"/>
      <c r="U2289" s="1"/>
      <c r="V2289" s="1"/>
      <c r="W2289" s="1"/>
      <c r="X2289" s="1"/>
      <c r="Y2289" s="1"/>
      <c r="Z2289" s="1"/>
    </row>
    <row r="2290" customFormat="false" ht="21.75" hidden="false" customHeight="true" outlineLevel="0" collapsed="false">
      <c r="A2290" s="4" t="n">
        <v>43497</v>
      </c>
      <c r="B2290" s="53" t="s">
        <v>352</v>
      </c>
      <c r="C2290" s="46" t="s">
        <v>15</v>
      </c>
      <c r="D2290" s="46" t="s">
        <v>43</v>
      </c>
      <c r="E2290" s="46" t="s">
        <v>883</v>
      </c>
      <c r="F2290" s="46" t="s">
        <v>5359</v>
      </c>
      <c r="G2290" s="46" t="n">
        <f aca="false">+5930997245036</f>
        <v>5930997245036</v>
      </c>
      <c r="H2290" s="46" t="s">
        <v>5360</v>
      </c>
      <c r="I2290" s="46"/>
      <c r="J2290" s="1"/>
      <c r="K2290" s="1" t="s">
        <v>1149</v>
      </c>
      <c r="L2290" s="1"/>
      <c r="M2290" s="1"/>
      <c r="N2290" s="1"/>
      <c r="O2290" s="1"/>
      <c r="P2290" s="6"/>
      <c r="Q2290" s="1"/>
      <c r="R2290" s="1"/>
      <c r="S2290" s="1"/>
      <c r="T2290" s="1"/>
      <c r="U2290" s="1"/>
      <c r="V2290" s="1"/>
      <c r="W2290" s="1"/>
      <c r="X2290" s="1"/>
      <c r="Y2290" s="1"/>
      <c r="Z2290" s="1"/>
    </row>
    <row r="2291" customFormat="false" ht="21.75" hidden="false" customHeight="true" outlineLevel="0" collapsed="false">
      <c r="A2291" s="4" t="n">
        <v>43497</v>
      </c>
      <c r="B2291" s="53" t="s">
        <v>48</v>
      </c>
      <c r="C2291" s="46" t="s">
        <v>15</v>
      </c>
      <c r="D2291" s="46" t="s">
        <v>43</v>
      </c>
      <c r="E2291" s="46" t="s">
        <v>883</v>
      </c>
      <c r="F2291" s="46" t="s">
        <v>5361</v>
      </c>
      <c r="G2291" s="46" t="n">
        <f aca="false">+593984284718</f>
        <v>593984284718</v>
      </c>
      <c r="H2291" s="46" t="s">
        <v>5362</v>
      </c>
      <c r="I2291" s="46"/>
      <c r="J2291" s="1"/>
      <c r="K2291" s="1" t="s">
        <v>1149</v>
      </c>
      <c r="L2291" s="1"/>
      <c r="M2291" s="1"/>
      <c r="N2291" s="1"/>
      <c r="O2291" s="1"/>
      <c r="P2291" s="6"/>
      <c r="Q2291" s="1"/>
      <c r="R2291" s="1"/>
      <c r="S2291" s="1"/>
      <c r="T2291" s="1"/>
      <c r="U2291" s="1"/>
      <c r="V2291" s="1"/>
      <c r="W2291" s="1"/>
      <c r="X2291" s="1"/>
      <c r="Y2291" s="1"/>
      <c r="Z2291" s="1"/>
    </row>
    <row r="2292" customFormat="false" ht="21.75" hidden="false" customHeight="true" outlineLevel="0" collapsed="false">
      <c r="A2292" s="4" t="n">
        <v>43497</v>
      </c>
      <c r="B2292" s="53" t="s">
        <v>1114</v>
      </c>
      <c r="C2292" s="46" t="s">
        <v>15</v>
      </c>
      <c r="D2292" s="46" t="s">
        <v>43</v>
      </c>
      <c r="E2292" s="46" t="s">
        <v>883</v>
      </c>
      <c r="F2292" s="46" t="s">
        <v>5363</v>
      </c>
      <c r="G2292" s="46" t="n">
        <f aca="false">+593999034486</f>
        <v>593999034486</v>
      </c>
      <c r="H2292" s="46" t="s">
        <v>5364</v>
      </c>
      <c r="I2292" s="46"/>
      <c r="J2292" s="1"/>
      <c r="K2292" s="1" t="s">
        <v>1149</v>
      </c>
      <c r="L2292" s="1"/>
      <c r="M2292" s="1"/>
      <c r="N2292" s="1"/>
      <c r="O2292" s="1"/>
      <c r="P2292" s="6"/>
      <c r="Q2292" s="1"/>
      <c r="R2292" s="1"/>
      <c r="S2292" s="1"/>
      <c r="T2292" s="1"/>
      <c r="U2292" s="1"/>
      <c r="V2292" s="1"/>
      <c r="W2292" s="1"/>
      <c r="X2292" s="1"/>
      <c r="Y2292" s="1"/>
      <c r="Z2292" s="1"/>
    </row>
    <row r="2293" customFormat="false" ht="21.75" hidden="false" customHeight="true" outlineLevel="0" collapsed="false">
      <c r="A2293" s="4" t="n">
        <v>43497</v>
      </c>
      <c r="B2293" s="53" t="s">
        <v>1114</v>
      </c>
      <c r="C2293" s="46" t="s">
        <v>15</v>
      </c>
      <c r="D2293" s="46" t="s">
        <v>43</v>
      </c>
      <c r="E2293" s="46" t="s">
        <v>883</v>
      </c>
      <c r="F2293" s="46" t="s">
        <v>5365</v>
      </c>
      <c r="G2293" s="46" t="n">
        <f aca="false">+593986405394</f>
        <v>593986405394</v>
      </c>
      <c r="H2293" s="46" t="s">
        <v>5366</v>
      </c>
      <c r="I2293" s="46"/>
      <c r="J2293" s="1"/>
      <c r="K2293" s="1" t="s">
        <v>5367</v>
      </c>
      <c r="L2293" s="1"/>
      <c r="M2293" s="1"/>
      <c r="N2293" s="1"/>
      <c r="O2293" s="1"/>
      <c r="P2293" s="6"/>
      <c r="Q2293" s="1"/>
      <c r="R2293" s="1"/>
      <c r="S2293" s="1"/>
      <c r="T2293" s="1"/>
      <c r="U2293" s="1"/>
      <c r="V2293" s="1"/>
      <c r="W2293" s="1"/>
      <c r="X2293" s="1"/>
      <c r="Y2293" s="1"/>
      <c r="Z2293" s="1"/>
    </row>
    <row r="2294" customFormat="false" ht="21.75" hidden="false" customHeight="true" outlineLevel="0" collapsed="false">
      <c r="A2294" s="4" t="n">
        <v>43497</v>
      </c>
      <c r="B2294" s="53" t="s">
        <v>1114</v>
      </c>
      <c r="C2294" s="46" t="s">
        <v>15</v>
      </c>
      <c r="D2294" s="46" t="s">
        <v>43</v>
      </c>
      <c r="E2294" s="46" t="s">
        <v>883</v>
      </c>
      <c r="F2294" s="46" t="s">
        <v>5368</v>
      </c>
      <c r="G2294" s="46" t="n">
        <f aca="false">+593985725941</f>
        <v>593985725941</v>
      </c>
      <c r="H2294" s="46" t="s">
        <v>5369</v>
      </c>
      <c r="I2294" s="46"/>
      <c r="J2294" s="1"/>
      <c r="K2294" s="1" t="s">
        <v>5370</v>
      </c>
      <c r="L2294" s="1"/>
      <c r="M2294" s="1"/>
      <c r="N2294" s="1"/>
      <c r="O2294" s="1"/>
      <c r="P2294" s="6"/>
      <c r="Q2294" s="1"/>
      <c r="R2294" s="1"/>
      <c r="S2294" s="1"/>
      <c r="T2294" s="1"/>
      <c r="U2294" s="1"/>
      <c r="V2294" s="1"/>
      <c r="W2294" s="1"/>
      <c r="X2294" s="1"/>
      <c r="Y2294" s="1"/>
      <c r="Z2294" s="1"/>
    </row>
    <row r="2295" customFormat="false" ht="21.75" hidden="false" customHeight="true" outlineLevel="0" collapsed="false">
      <c r="A2295" s="4" t="n">
        <v>43497</v>
      </c>
      <c r="B2295" s="53" t="s">
        <v>48</v>
      </c>
      <c r="C2295" s="46" t="s">
        <v>26</v>
      </c>
      <c r="D2295" s="46" t="s">
        <v>43</v>
      </c>
      <c r="E2295" s="46" t="s">
        <v>109</v>
      </c>
      <c r="F2295" s="46" t="s">
        <v>5371</v>
      </c>
      <c r="G2295" s="46" t="n">
        <f aca="false">+593993090064</f>
        <v>593993090064</v>
      </c>
      <c r="H2295" s="46" t="s">
        <v>5372</v>
      </c>
      <c r="I2295" s="46"/>
      <c r="J2295" s="1"/>
      <c r="K2295" s="1" t="s">
        <v>5349</v>
      </c>
      <c r="L2295" s="1"/>
      <c r="M2295" s="1"/>
      <c r="N2295" s="1"/>
      <c r="O2295" s="1"/>
      <c r="P2295" s="6"/>
      <c r="Q2295" s="1"/>
      <c r="R2295" s="1"/>
      <c r="S2295" s="1"/>
      <c r="T2295" s="1"/>
      <c r="U2295" s="1"/>
      <c r="V2295" s="1"/>
      <c r="W2295" s="1"/>
      <c r="X2295" s="1"/>
      <c r="Y2295" s="1"/>
      <c r="Z2295" s="1"/>
    </row>
    <row r="2296" customFormat="false" ht="21.75" hidden="false" customHeight="true" outlineLevel="0" collapsed="false">
      <c r="A2296" s="4" t="n">
        <v>43497</v>
      </c>
      <c r="B2296" s="53" t="s">
        <v>1106</v>
      </c>
      <c r="C2296" s="46" t="s">
        <v>26</v>
      </c>
      <c r="D2296" s="46" t="s">
        <v>43</v>
      </c>
      <c r="E2296" s="46" t="s">
        <v>109</v>
      </c>
      <c r="F2296" s="46" t="s">
        <v>5373</v>
      </c>
      <c r="G2296" s="46" t="n">
        <f aca="false">+5930989988012</f>
        <v>5930989988012</v>
      </c>
      <c r="H2296" s="46" t="s">
        <v>5374</v>
      </c>
      <c r="I2296" s="46"/>
      <c r="J2296" s="1"/>
      <c r="K2296" s="1" t="s">
        <v>1149</v>
      </c>
      <c r="L2296" s="1"/>
      <c r="M2296" s="1"/>
      <c r="N2296" s="1"/>
      <c r="O2296" s="1"/>
      <c r="P2296" s="6"/>
      <c r="Q2296" s="1"/>
      <c r="R2296" s="1"/>
      <c r="S2296" s="1"/>
      <c r="T2296" s="1"/>
      <c r="U2296" s="1"/>
      <c r="V2296" s="1"/>
      <c r="W2296" s="1"/>
      <c r="X2296" s="1"/>
      <c r="Y2296" s="1"/>
      <c r="Z2296" s="1"/>
    </row>
    <row r="2297" customFormat="false" ht="21.75" hidden="false" customHeight="true" outlineLevel="0" collapsed="false">
      <c r="A2297" s="4" t="n">
        <v>43497</v>
      </c>
      <c r="B2297" s="53" t="s">
        <v>1106</v>
      </c>
      <c r="C2297" s="46" t="s">
        <v>15</v>
      </c>
      <c r="D2297" s="46" t="s">
        <v>43</v>
      </c>
      <c r="E2297" s="46" t="s">
        <v>109</v>
      </c>
      <c r="F2297" s="46" t="s">
        <v>5375</v>
      </c>
      <c r="G2297" s="46" t="n">
        <f aca="false">+593996382712</f>
        <v>593996382712</v>
      </c>
      <c r="H2297" s="46" t="s">
        <v>5376</v>
      </c>
      <c r="I2297" s="46"/>
      <c r="J2297" s="1"/>
      <c r="K2297" s="1" t="s">
        <v>1149</v>
      </c>
      <c r="L2297" s="1"/>
      <c r="M2297" s="1"/>
      <c r="N2297" s="1"/>
      <c r="O2297" s="1"/>
      <c r="P2297" s="6"/>
      <c r="Q2297" s="1"/>
      <c r="R2297" s="1"/>
      <c r="S2297" s="1"/>
      <c r="T2297" s="1"/>
      <c r="U2297" s="1"/>
      <c r="V2297" s="1"/>
      <c r="W2297" s="1"/>
      <c r="X2297" s="1"/>
      <c r="Y2297" s="1"/>
      <c r="Z2297" s="1"/>
    </row>
    <row r="2298" customFormat="false" ht="21.75" hidden="false" customHeight="true" outlineLevel="0" collapsed="false">
      <c r="A2298" s="4" t="n">
        <v>43497</v>
      </c>
      <c r="B2298" s="53" t="s">
        <v>1106</v>
      </c>
      <c r="C2298" s="46" t="s">
        <v>15</v>
      </c>
      <c r="D2298" s="46" t="s">
        <v>43</v>
      </c>
      <c r="E2298" s="46" t="s">
        <v>109</v>
      </c>
      <c r="F2298" s="46" t="s">
        <v>5377</v>
      </c>
      <c r="G2298" s="46" t="n">
        <f aca="false">+593991735336</f>
        <v>593991735336</v>
      </c>
      <c r="H2298" s="46" t="s">
        <v>5378</v>
      </c>
      <c r="I2298" s="46"/>
      <c r="J2298" s="1"/>
      <c r="K2298" s="1" t="s">
        <v>1149</v>
      </c>
      <c r="L2298" s="1"/>
      <c r="M2298" s="1"/>
      <c r="N2298" s="1"/>
      <c r="O2298" s="1"/>
      <c r="P2298" s="6"/>
      <c r="Q2298" s="1"/>
      <c r="R2298" s="1"/>
      <c r="S2298" s="1"/>
      <c r="T2298" s="1"/>
      <c r="U2298" s="1"/>
      <c r="V2298" s="1"/>
      <c r="W2298" s="1"/>
      <c r="X2298" s="1"/>
      <c r="Y2298" s="1"/>
      <c r="Z2298" s="1"/>
    </row>
    <row r="2299" customFormat="false" ht="21.75" hidden="false" customHeight="true" outlineLevel="0" collapsed="false">
      <c r="A2299" s="4" t="n">
        <v>43497</v>
      </c>
      <c r="B2299" s="53" t="s">
        <v>1114</v>
      </c>
      <c r="C2299" s="46" t="s">
        <v>15</v>
      </c>
      <c r="D2299" s="46" t="s">
        <v>43</v>
      </c>
      <c r="E2299" s="46" t="s">
        <v>109</v>
      </c>
      <c r="F2299" s="46" t="s">
        <v>5379</v>
      </c>
      <c r="G2299" s="46" t="n">
        <f aca="false">+593995529729</f>
        <v>593995529729</v>
      </c>
      <c r="H2299" s="46" t="s">
        <v>5380</v>
      </c>
      <c r="I2299" s="46"/>
      <c r="J2299" s="1"/>
      <c r="K2299" s="1" t="s">
        <v>1156</v>
      </c>
      <c r="L2299" s="1"/>
      <c r="M2299" s="1"/>
      <c r="N2299" s="1"/>
      <c r="O2299" s="1"/>
      <c r="P2299" s="6"/>
      <c r="Q2299" s="1"/>
      <c r="R2299" s="1"/>
      <c r="S2299" s="1"/>
      <c r="T2299" s="1"/>
      <c r="U2299" s="1"/>
      <c r="V2299" s="1"/>
      <c r="W2299" s="1"/>
      <c r="X2299" s="1"/>
      <c r="Y2299" s="1"/>
      <c r="Z2299" s="1"/>
    </row>
    <row r="2300" customFormat="false" ht="21.75" hidden="false" customHeight="true" outlineLevel="0" collapsed="false">
      <c r="A2300" s="4" t="n">
        <v>43497</v>
      </c>
      <c r="B2300" s="53" t="s">
        <v>532</v>
      </c>
      <c r="C2300" s="46" t="s">
        <v>15</v>
      </c>
      <c r="D2300" s="46" t="s">
        <v>43</v>
      </c>
      <c r="E2300" s="46" t="s">
        <v>109</v>
      </c>
      <c r="F2300" s="46" t="s">
        <v>5381</v>
      </c>
      <c r="G2300" s="46" t="n">
        <f aca="false">+593983643859</f>
        <v>593983643859</v>
      </c>
      <c r="H2300" s="46" t="s">
        <v>5382</v>
      </c>
      <c r="I2300" s="46"/>
      <c r="J2300" s="1"/>
      <c r="K2300" s="1" t="s">
        <v>1156</v>
      </c>
      <c r="L2300" s="1"/>
      <c r="M2300" s="1"/>
      <c r="N2300" s="1"/>
      <c r="O2300" s="1"/>
      <c r="P2300" s="6"/>
      <c r="Q2300" s="1"/>
      <c r="R2300" s="1"/>
      <c r="S2300" s="1"/>
      <c r="T2300" s="1"/>
      <c r="U2300" s="1"/>
      <c r="V2300" s="1"/>
      <c r="W2300" s="1"/>
      <c r="X2300" s="1"/>
      <c r="Y2300" s="1"/>
      <c r="Z2300" s="1"/>
    </row>
    <row r="2301" customFormat="false" ht="21.75" hidden="false" customHeight="true" outlineLevel="0" collapsed="false">
      <c r="A2301" s="4" t="n">
        <v>43497</v>
      </c>
      <c r="B2301" s="53" t="s">
        <v>48</v>
      </c>
      <c r="C2301" s="46" t="s">
        <v>26</v>
      </c>
      <c r="D2301" s="46" t="s">
        <v>43</v>
      </c>
      <c r="E2301" s="46" t="s">
        <v>109</v>
      </c>
      <c r="F2301" s="46" t="s">
        <v>5383</v>
      </c>
      <c r="G2301" s="46" t="n">
        <f aca="false">+593959466918</f>
        <v>593959466918</v>
      </c>
      <c r="H2301" s="46" t="s">
        <v>5384</v>
      </c>
      <c r="I2301" s="46"/>
      <c r="J2301" s="1"/>
      <c r="K2301" s="1" t="s">
        <v>1156</v>
      </c>
      <c r="L2301" s="1"/>
      <c r="M2301" s="1"/>
      <c r="N2301" s="1"/>
      <c r="O2301" s="1"/>
      <c r="P2301" s="6"/>
      <c r="Q2301" s="1"/>
      <c r="R2301" s="1"/>
      <c r="S2301" s="1"/>
      <c r="T2301" s="1"/>
      <c r="U2301" s="1"/>
      <c r="V2301" s="1"/>
      <c r="W2301" s="1"/>
      <c r="X2301" s="1"/>
      <c r="Y2301" s="1"/>
      <c r="Z2301" s="1"/>
    </row>
    <row r="2302" customFormat="false" ht="21.75" hidden="false" customHeight="true" outlineLevel="0" collapsed="false">
      <c r="A2302" s="4" t="n">
        <v>43497</v>
      </c>
      <c r="B2302" s="53" t="s">
        <v>1478</v>
      </c>
      <c r="C2302" s="46" t="s">
        <v>15</v>
      </c>
      <c r="D2302" s="46" t="s">
        <v>43</v>
      </c>
      <c r="E2302" s="46" t="s">
        <v>109</v>
      </c>
      <c r="F2302" s="46" t="s">
        <v>5385</v>
      </c>
      <c r="G2302" s="46" t="n">
        <f aca="false">+593998857609</f>
        <v>593998857609</v>
      </c>
      <c r="H2302" s="46" t="s">
        <v>5386</v>
      </c>
      <c r="I2302" s="46"/>
      <c r="J2302" s="1"/>
      <c r="K2302" s="1" t="s">
        <v>1156</v>
      </c>
      <c r="L2302" s="1"/>
      <c r="M2302" s="1"/>
      <c r="N2302" s="1"/>
      <c r="O2302" s="1"/>
      <c r="P2302" s="6"/>
      <c r="Q2302" s="1"/>
      <c r="R2302" s="1"/>
      <c r="S2302" s="1"/>
      <c r="T2302" s="1"/>
      <c r="U2302" s="1"/>
      <c r="V2302" s="1"/>
      <c r="W2302" s="1"/>
      <c r="X2302" s="1"/>
      <c r="Y2302" s="1"/>
      <c r="Z2302" s="1"/>
    </row>
    <row r="2303" customFormat="false" ht="21.75" hidden="false" customHeight="true" outlineLevel="0" collapsed="false">
      <c r="A2303" s="4" t="n">
        <v>43497</v>
      </c>
      <c r="B2303" s="53" t="s">
        <v>48</v>
      </c>
      <c r="C2303" s="46" t="s">
        <v>15</v>
      </c>
      <c r="D2303" s="46" t="s">
        <v>43</v>
      </c>
      <c r="E2303" s="46" t="s">
        <v>109</v>
      </c>
      <c r="F2303" s="46" t="s">
        <v>5387</v>
      </c>
      <c r="G2303" s="46" t="n">
        <f aca="false">+593979816975</f>
        <v>593979816975</v>
      </c>
      <c r="H2303" s="46" t="s">
        <v>5388</v>
      </c>
      <c r="I2303" s="46"/>
      <c r="J2303" s="1"/>
      <c r="K2303" s="1" t="s">
        <v>5389</v>
      </c>
      <c r="L2303" s="1"/>
      <c r="M2303" s="1"/>
      <c r="N2303" s="1"/>
      <c r="O2303" s="1"/>
      <c r="P2303" s="6"/>
      <c r="Q2303" s="1"/>
      <c r="R2303" s="1"/>
      <c r="S2303" s="1"/>
      <c r="T2303" s="1"/>
      <c r="U2303" s="1"/>
      <c r="V2303" s="1"/>
      <c r="W2303" s="1"/>
      <c r="X2303" s="1"/>
      <c r="Y2303" s="1"/>
      <c r="Z2303" s="1"/>
    </row>
    <row r="2304" customFormat="false" ht="21.75" hidden="false" customHeight="true" outlineLevel="0" collapsed="false">
      <c r="A2304" s="4" t="n">
        <v>43497</v>
      </c>
      <c r="B2304" s="53" t="s">
        <v>178</v>
      </c>
      <c r="C2304" s="46" t="s">
        <v>26</v>
      </c>
      <c r="D2304" s="46" t="s">
        <v>43</v>
      </c>
      <c r="E2304" s="46" t="s">
        <v>109</v>
      </c>
      <c r="F2304" s="46" t="s">
        <v>5390</v>
      </c>
      <c r="G2304" s="46" t="n">
        <f aca="false">+593988133831</f>
        <v>593988133831</v>
      </c>
      <c r="H2304" s="46" t="s">
        <v>5391</v>
      </c>
      <c r="I2304" s="46"/>
      <c r="J2304" s="1"/>
      <c r="K2304" s="1" t="s">
        <v>1156</v>
      </c>
      <c r="L2304" s="1"/>
      <c r="M2304" s="1"/>
      <c r="N2304" s="1"/>
      <c r="O2304" s="1"/>
      <c r="P2304" s="6"/>
      <c r="Q2304" s="1"/>
      <c r="R2304" s="1"/>
      <c r="S2304" s="1"/>
      <c r="T2304" s="1"/>
      <c r="U2304" s="1"/>
      <c r="V2304" s="1"/>
      <c r="W2304" s="1"/>
      <c r="X2304" s="1"/>
      <c r="Y2304" s="1"/>
      <c r="Z2304" s="1"/>
    </row>
    <row r="2305" customFormat="false" ht="21.75" hidden="false" customHeight="true" outlineLevel="0" collapsed="false">
      <c r="A2305" s="4" t="n">
        <v>43497</v>
      </c>
      <c r="B2305" s="53" t="s">
        <v>352</v>
      </c>
      <c r="C2305" s="46" t="s">
        <v>26</v>
      </c>
      <c r="D2305" s="46" t="s">
        <v>43</v>
      </c>
      <c r="E2305" s="46" t="s">
        <v>109</v>
      </c>
      <c r="F2305" s="46" t="s">
        <v>5392</v>
      </c>
      <c r="G2305" s="46" t="n">
        <f aca="false">+593997661430</f>
        <v>593997661430</v>
      </c>
      <c r="H2305" s="46" t="s">
        <v>5393</v>
      </c>
      <c r="I2305" s="46"/>
      <c r="J2305" s="1"/>
      <c r="K2305" s="1" t="s">
        <v>5394</v>
      </c>
      <c r="L2305" s="1"/>
      <c r="M2305" s="1"/>
      <c r="N2305" s="1"/>
      <c r="O2305" s="1"/>
      <c r="P2305" s="6"/>
      <c r="Q2305" s="1"/>
      <c r="R2305" s="1"/>
      <c r="S2305" s="1"/>
      <c r="T2305" s="1"/>
      <c r="U2305" s="1"/>
      <c r="V2305" s="1"/>
      <c r="W2305" s="1"/>
      <c r="X2305" s="1"/>
      <c r="Y2305" s="1"/>
      <c r="Z2305" s="1"/>
    </row>
    <row r="2306" customFormat="false" ht="21.75" hidden="false" customHeight="true" outlineLevel="0" collapsed="false">
      <c r="A2306" s="4" t="n">
        <v>43497</v>
      </c>
      <c r="B2306" s="53" t="s">
        <v>1114</v>
      </c>
      <c r="C2306" s="46" t="s">
        <v>26</v>
      </c>
      <c r="D2306" s="46" t="s">
        <v>43</v>
      </c>
      <c r="E2306" s="46" t="s">
        <v>109</v>
      </c>
      <c r="F2306" s="46" t="s">
        <v>5395</v>
      </c>
      <c r="G2306" s="46" t="n">
        <v>968336531</v>
      </c>
      <c r="H2306" s="46" t="s">
        <v>5396</v>
      </c>
      <c r="I2306" s="46"/>
      <c r="J2306" s="1"/>
      <c r="K2306" s="1" t="s">
        <v>5397</v>
      </c>
      <c r="L2306" s="1"/>
      <c r="M2306" s="1"/>
      <c r="N2306" s="1"/>
      <c r="O2306" s="1"/>
      <c r="P2306" s="6"/>
      <c r="Q2306" s="1"/>
      <c r="R2306" s="1"/>
      <c r="S2306" s="1"/>
      <c r="T2306" s="1"/>
      <c r="U2306" s="1"/>
      <c r="V2306" s="1"/>
      <c r="W2306" s="1"/>
      <c r="X2306" s="1"/>
      <c r="Y2306" s="1"/>
      <c r="Z2306" s="1"/>
    </row>
    <row r="2307" customFormat="false" ht="21.75" hidden="false" customHeight="true" outlineLevel="0" collapsed="false">
      <c r="A2307" s="4" t="n">
        <v>43497</v>
      </c>
      <c r="B2307" s="53" t="s">
        <v>1478</v>
      </c>
      <c r="C2307" s="46" t="s">
        <v>15</v>
      </c>
      <c r="D2307" s="46" t="s">
        <v>43</v>
      </c>
      <c r="E2307" s="46" t="s">
        <v>109</v>
      </c>
      <c r="F2307" s="46" t="s">
        <v>5398</v>
      </c>
      <c r="G2307" s="46" t="n">
        <f aca="false">+593989576974</f>
        <v>593989576974</v>
      </c>
      <c r="H2307" s="46" t="s">
        <v>5399</v>
      </c>
      <c r="I2307" s="46"/>
      <c r="J2307" s="1"/>
      <c r="K2307" s="1" t="s">
        <v>5400</v>
      </c>
      <c r="L2307" s="1"/>
      <c r="M2307" s="1"/>
      <c r="N2307" s="1"/>
      <c r="O2307" s="1"/>
      <c r="P2307" s="6"/>
      <c r="Q2307" s="1"/>
      <c r="R2307" s="1"/>
      <c r="S2307" s="1"/>
      <c r="T2307" s="1"/>
      <c r="U2307" s="1"/>
      <c r="V2307" s="1"/>
      <c r="W2307" s="1"/>
      <c r="X2307" s="1"/>
      <c r="Y2307" s="1"/>
      <c r="Z2307" s="1"/>
    </row>
    <row r="2308" customFormat="false" ht="21.75" hidden="false" customHeight="true" outlineLevel="0" collapsed="false">
      <c r="A2308" s="4" t="n">
        <v>43497</v>
      </c>
      <c r="B2308" s="53" t="s">
        <v>178</v>
      </c>
      <c r="C2308" s="46" t="s">
        <v>15</v>
      </c>
      <c r="D2308" s="46" t="s">
        <v>43</v>
      </c>
      <c r="E2308" s="46" t="s">
        <v>109</v>
      </c>
      <c r="F2308" s="46" t="s">
        <v>5401</v>
      </c>
      <c r="G2308" s="46" t="n">
        <f aca="false">+593998849468</f>
        <v>593998849468</v>
      </c>
      <c r="H2308" s="46" t="s">
        <v>5402</v>
      </c>
      <c r="I2308" s="46"/>
      <c r="J2308" s="1"/>
      <c r="K2308" s="1" t="s">
        <v>1156</v>
      </c>
      <c r="L2308" s="1"/>
      <c r="M2308" s="1"/>
      <c r="N2308" s="1"/>
      <c r="O2308" s="1"/>
      <c r="P2308" s="6"/>
      <c r="Q2308" s="1"/>
      <c r="R2308" s="1"/>
      <c r="S2308" s="1"/>
      <c r="T2308" s="1"/>
      <c r="U2308" s="1"/>
      <c r="V2308" s="1"/>
      <c r="W2308" s="1"/>
      <c r="X2308" s="1"/>
      <c r="Y2308" s="1"/>
      <c r="Z2308" s="1"/>
    </row>
    <row r="2309" customFormat="false" ht="21.75" hidden="false" customHeight="true" outlineLevel="0" collapsed="false">
      <c r="A2309" s="4" t="n">
        <v>43497</v>
      </c>
      <c r="B2309" s="53" t="s">
        <v>1478</v>
      </c>
      <c r="C2309" s="46" t="s">
        <v>15</v>
      </c>
      <c r="D2309" s="46" t="s">
        <v>43</v>
      </c>
      <c r="E2309" s="46" t="s">
        <v>109</v>
      </c>
      <c r="F2309" s="46" t="s">
        <v>5403</v>
      </c>
      <c r="G2309" s="46" t="n">
        <f aca="false">+593996308206</f>
        <v>593996308206</v>
      </c>
      <c r="H2309" s="46" t="s">
        <v>5404</v>
      </c>
      <c r="I2309" s="46"/>
      <c r="J2309" s="1"/>
      <c r="K2309" s="1" t="s">
        <v>1149</v>
      </c>
      <c r="L2309" s="1"/>
      <c r="M2309" s="1"/>
      <c r="N2309" s="1"/>
      <c r="O2309" s="1"/>
      <c r="P2309" s="6"/>
      <c r="Q2309" s="1"/>
      <c r="R2309" s="1"/>
      <c r="S2309" s="1"/>
      <c r="T2309" s="1"/>
      <c r="U2309" s="1"/>
      <c r="V2309" s="1"/>
      <c r="W2309" s="1"/>
      <c r="X2309" s="1"/>
      <c r="Y2309" s="1"/>
      <c r="Z2309" s="1"/>
    </row>
    <row r="2310" customFormat="false" ht="21.75" hidden="false" customHeight="true" outlineLevel="0" collapsed="false">
      <c r="A2310" s="4" t="n">
        <v>43497</v>
      </c>
      <c r="B2310" s="53" t="s">
        <v>48</v>
      </c>
      <c r="C2310" s="46" t="s">
        <v>15</v>
      </c>
      <c r="D2310" s="46" t="s">
        <v>43</v>
      </c>
      <c r="E2310" s="46" t="s">
        <v>109</v>
      </c>
      <c r="F2310" s="46" t="s">
        <v>5405</v>
      </c>
      <c r="G2310" s="46" t="n">
        <f aca="false">+5930969466879</f>
        <v>5930969466879</v>
      </c>
      <c r="H2310" s="46" t="s">
        <v>5406</v>
      </c>
      <c r="I2310" s="46"/>
      <c r="J2310" s="1"/>
      <c r="K2310" s="1" t="s">
        <v>1149</v>
      </c>
      <c r="L2310" s="1"/>
      <c r="M2310" s="1"/>
      <c r="N2310" s="1"/>
      <c r="O2310" s="1"/>
      <c r="P2310" s="6"/>
      <c r="Q2310" s="1"/>
      <c r="R2310" s="1"/>
      <c r="S2310" s="1"/>
      <c r="T2310" s="1"/>
      <c r="U2310" s="1"/>
      <c r="V2310" s="1"/>
      <c r="W2310" s="1"/>
      <c r="X2310" s="1"/>
      <c r="Y2310" s="1"/>
      <c r="Z2310" s="1"/>
    </row>
    <row r="2311" customFormat="false" ht="21.75" hidden="false" customHeight="true" outlineLevel="0" collapsed="false">
      <c r="A2311" s="4" t="n">
        <v>43497</v>
      </c>
      <c r="B2311" s="53" t="s">
        <v>42</v>
      </c>
      <c r="C2311" s="46" t="s">
        <v>15</v>
      </c>
      <c r="D2311" s="46" t="s">
        <v>43</v>
      </c>
      <c r="E2311" s="46" t="s">
        <v>109</v>
      </c>
      <c r="F2311" s="46" t="s">
        <v>5407</v>
      </c>
      <c r="G2311" s="46" t="n">
        <f aca="false">+593988669536</f>
        <v>593988669536</v>
      </c>
      <c r="H2311" s="46" t="s">
        <v>5408</v>
      </c>
      <c r="I2311" s="46"/>
      <c r="J2311" s="1"/>
      <c r="K2311" s="1" t="s">
        <v>5409</v>
      </c>
      <c r="L2311" s="1"/>
      <c r="M2311" s="1"/>
      <c r="N2311" s="1"/>
      <c r="O2311" s="1"/>
      <c r="P2311" s="6"/>
      <c r="Q2311" s="1"/>
      <c r="R2311" s="1"/>
      <c r="S2311" s="1"/>
      <c r="T2311" s="1"/>
      <c r="U2311" s="1"/>
      <c r="V2311" s="1"/>
      <c r="W2311" s="1"/>
      <c r="X2311" s="1"/>
      <c r="Y2311" s="1"/>
      <c r="Z2311" s="1"/>
    </row>
    <row r="2312" customFormat="false" ht="21.75" hidden="false" customHeight="true" outlineLevel="0" collapsed="false">
      <c r="A2312" s="4" t="n">
        <v>43497</v>
      </c>
      <c r="B2312" s="53" t="s">
        <v>1478</v>
      </c>
      <c r="C2312" s="46" t="s">
        <v>15</v>
      </c>
      <c r="D2312" s="46" t="s">
        <v>43</v>
      </c>
      <c r="E2312" s="46" t="s">
        <v>109</v>
      </c>
      <c r="F2312" s="46" t="s">
        <v>5410</v>
      </c>
      <c r="G2312" s="46" t="n">
        <f aca="false">+5930981020173</f>
        <v>5930981020173</v>
      </c>
      <c r="H2312" s="46" t="s">
        <v>5411</v>
      </c>
      <c r="I2312" s="46"/>
      <c r="J2312" s="1"/>
      <c r="K2312" s="1" t="s">
        <v>1149</v>
      </c>
      <c r="L2312" s="1"/>
      <c r="M2312" s="1"/>
      <c r="N2312" s="1"/>
      <c r="O2312" s="1"/>
      <c r="P2312" s="6"/>
      <c r="Q2312" s="1"/>
      <c r="R2312" s="1"/>
      <c r="S2312" s="1"/>
      <c r="T2312" s="1"/>
      <c r="U2312" s="1"/>
      <c r="V2312" s="1"/>
      <c r="W2312" s="1"/>
      <c r="X2312" s="1"/>
      <c r="Y2312" s="1"/>
      <c r="Z2312" s="1"/>
    </row>
    <row r="2313" customFormat="false" ht="21.75" hidden="false" customHeight="true" outlineLevel="0" collapsed="false">
      <c r="A2313" s="4" t="n">
        <v>43497</v>
      </c>
      <c r="B2313" s="53" t="s">
        <v>352</v>
      </c>
      <c r="C2313" s="46" t="s">
        <v>15</v>
      </c>
      <c r="D2313" s="46" t="s">
        <v>43</v>
      </c>
      <c r="E2313" s="46" t="s">
        <v>109</v>
      </c>
      <c r="F2313" s="46" t="s">
        <v>5412</v>
      </c>
      <c r="G2313" s="46" t="n">
        <f aca="false">+593990276660</f>
        <v>593990276660</v>
      </c>
      <c r="H2313" s="46" t="s">
        <v>5413</v>
      </c>
      <c r="I2313" s="46"/>
      <c r="J2313" s="1"/>
      <c r="K2313" s="1" t="s">
        <v>1149</v>
      </c>
      <c r="L2313" s="1"/>
      <c r="M2313" s="1"/>
      <c r="N2313" s="1"/>
      <c r="O2313" s="1"/>
      <c r="P2313" s="6"/>
      <c r="Q2313" s="1"/>
      <c r="R2313" s="1"/>
      <c r="S2313" s="1"/>
      <c r="T2313" s="1"/>
      <c r="U2313" s="1"/>
      <c r="V2313" s="1"/>
      <c r="W2313" s="1"/>
      <c r="X2313" s="1"/>
      <c r="Y2313" s="1"/>
      <c r="Z2313" s="1"/>
    </row>
    <row r="2314" customFormat="false" ht="21.75" hidden="false" customHeight="true" outlineLevel="0" collapsed="false">
      <c r="A2314" s="4" t="n">
        <v>43497</v>
      </c>
      <c r="B2314" s="53" t="s">
        <v>1831</v>
      </c>
      <c r="C2314" s="46" t="s">
        <v>26</v>
      </c>
      <c r="D2314" s="46" t="s">
        <v>43</v>
      </c>
      <c r="E2314" s="46" t="s">
        <v>109</v>
      </c>
      <c r="F2314" s="46" t="s">
        <v>5414</v>
      </c>
      <c r="G2314" s="46" t="n">
        <f aca="false">+5930982509173</f>
        <v>5930982509173</v>
      </c>
      <c r="H2314" s="46" t="s">
        <v>5415</v>
      </c>
      <c r="I2314" s="46"/>
      <c r="J2314" s="1"/>
      <c r="K2314" s="1" t="s">
        <v>1156</v>
      </c>
      <c r="L2314" s="1"/>
      <c r="M2314" s="1"/>
      <c r="N2314" s="1"/>
      <c r="O2314" s="1"/>
      <c r="P2314" s="6"/>
      <c r="Q2314" s="1"/>
      <c r="R2314" s="1"/>
      <c r="S2314" s="1"/>
      <c r="T2314" s="1"/>
      <c r="U2314" s="1"/>
      <c r="V2314" s="1"/>
      <c r="W2314" s="1"/>
      <c r="X2314" s="1"/>
      <c r="Y2314" s="1"/>
      <c r="Z2314" s="1"/>
    </row>
    <row r="2315" customFormat="false" ht="21.75" hidden="false" customHeight="true" outlineLevel="0" collapsed="false">
      <c r="A2315" s="4" t="n">
        <v>43497</v>
      </c>
      <c r="B2315" s="53" t="s">
        <v>81</v>
      </c>
      <c r="C2315" s="46" t="s">
        <v>15</v>
      </c>
      <c r="D2315" s="46" t="s">
        <v>43</v>
      </c>
      <c r="E2315" s="46" t="s">
        <v>109</v>
      </c>
      <c r="F2315" s="46" t="s">
        <v>5416</v>
      </c>
      <c r="G2315" s="46" t="n">
        <f aca="false">+5930939515754</f>
        <v>5930939515754</v>
      </c>
      <c r="H2315" s="46" t="s">
        <v>5417</v>
      </c>
      <c r="I2315" s="46"/>
      <c r="J2315" s="1"/>
      <c r="K2315" s="1" t="s">
        <v>1156</v>
      </c>
      <c r="L2315" s="1"/>
      <c r="M2315" s="1"/>
      <c r="N2315" s="1"/>
      <c r="O2315" s="1"/>
      <c r="P2315" s="6"/>
      <c r="Q2315" s="1"/>
      <c r="R2315" s="1"/>
      <c r="S2315" s="1"/>
      <c r="T2315" s="1"/>
      <c r="U2315" s="1"/>
      <c r="V2315" s="1"/>
      <c r="W2315" s="1"/>
      <c r="X2315" s="1"/>
      <c r="Y2315" s="1"/>
      <c r="Z2315" s="1"/>
    </row>
    <row r="2316" customFormat="false" ht="21.75" hidden="false" customHeight="true" outlineLevel="0" collapsed="false">
      <c r="A2316" s="4" t="n">
        <v>43497</v>
      </c>
      <c r="B2316" s="53" t="s">
        <v>323</v>
      </c>
      <c r="C2316" s="46" t="s">
        <v>15</v>
      </c>
      <c r="D2316" s="46" t="s">
        <v>43</v>
      </c>
      <c r="E2316" s="46" t="s">
        <v>109</v>
      </c>
      <c r="F2316" s="46" t="s">
        <v>5418</v>
      </c>
      <c r="G2316" s="46" t="n">
        <f aca="false">+593958939770</f>
        <v>593958939770</v>
      </c>
      <c r="H2316" s="46" t="s">
        <v>5419</v>
      </c>
      <c r="I2316" s="46"/>
      <c r="J2316" s="1"/>
      <c r="K2316" s="1" t="s">
        <v>1149</v>
      </c>
      <c r="L2316" s="1"/>
      <c r="M2316" s="1"/>
      <c r="N2316" s="1"/>
      <c r="O2316" s="1"/>
      <c r="P2316" s="6"/>
      <c r="Q2316" s="1"/>
      <c r="R2316" s="1"/>
      <c r="S2316" s="1"/>
      <c r="T2316" s="1"/>
      <c r="U2316" s="1"/>
      <c r="V2316" s="1"/>
      <c r="W2316" s="1"/>
      <c r="X2316" s="1"/>
      <c r="Y2316" s="1"/>
      <c r="Z2316" s="1"/>
    </row>
    <row r="2317" customFormat="false" ht="21.75" hidden="false" customHeight="true" outlineLevel="0" collapsed="false">
      <c r="A2317" s="4" t="n">
        <v>43497</v>
      </c>
      <c r="B2317" s="53" t="s">
        <v>48</v>
      </c>
      <c r="C2317" s="46" t="s">
        <v>15</v>
      </c>
      <c r="D2317" s="46" t="s">
        <v>43</v>
      </c>
      <c r="E2317" s="46" t="s">
        <v>109</v>
      </c>
      <c r="F2317" s="46" t="s">
        <v>5420</v>
      </c>
      <c r="G2317" s="46" t="n">
        <f aca="false">+5930983863940</f>
        <v>5930983863940</v>
      </c>
      <c r="H2317" s="46" t="s">
        <v>5421</v>
      </c>
      <c r="I2317" s="46"/>
      <c r="J2317" s="1"/>
      <c r="K2317" s="1" t="s">
        <v>1156</v>
      </c>
      <c r="L2317" s="1"/>
      <c r="M2317" s="1"/>
      <c r="N2317" s="1"/>
      <c r="O2317" s="1"/>
      <c r="P2317" s="6"/>
      <c r="Q2317" s="1"/>
      <c r="R2317" s="1"/>
      <c r="S2317" s="1"/>
      <c r="T2317" s="1"/>
      <c r="U2317" s="1"/>
      <c r="V2317" s="1"/>
      <c r="W2317" s="1"/>
      <c r="X2317" s="1"/>
      <c r="Y2317" s="1"/>
      <c r="Z2317" s="1"/>
    </row>
    <row r="2318" customFormat="false" ht="21.75" hidden="false" customHeight="true" outlineLevel="0" collapsed="false">
      <c r="A2318" s="4" t="n">
        <v>43497</v>
      </c>
      <c r="B2318" s="53" t="s">
        <v>532</v>
      </c>
      <c r="C2318" s="46" t="s">
        <v>15</v>
      </c>
      <c r="D2318" s="46" t="s">
        <v>43</v>
      </c>
      <c r="E2318" s="46" t="s">
        <v>109</v>
      </c>
      <c r="F2318" s="46" t="s">
        <v>5422</v>
      </c>
      <c r="G2318" s="46" t="n">
        <f aca="false">+593978777784</f>
        <v>593978777784</v>
      </c>
      <c r="H2318" s="46" t="s">
        <v>5423</v>
      </c>
      <c r="I2318" s="46"/>
      <c r="J2318" s="1"/>
      <c r="K2318" s="1" t="s">
        <v>5424</v>
      </c>
      <c r="L2318" s="1"/>
      <c r="M2318" s="1"/>
      <c r="N2318" s="1"/>
      <c r="O2318" s="1"/>
      <c r="P2318" s="6"/>
      <c r="Q2318" s="1"/>
      <c r="R2318" s="1"/>
      <c r="S2318" s="1"/>
      <c r="T2318" s="1"/>
      <c r="U2318" s="1"/>
      <c r="V2318" s="1"/>
      <c r="W2318" s="1"/>
      <c r="X2318" s="1"/>
      <c r="Y2318" s="1"/>
      <c r="Z2318" s="1"/>
    </row>
    <row r="2319" customFormat="false" ht="21.75" hidden="false" customHeight="true" outlineLevel="0" collapsed="false">
      <c r="A2319" s="4" t="n">
        <v>43497</v>
      </c>
      <c r="B2319" s="53" t="s">
        <v>1114</v>
      </c>
      <c r="C2319" s="46" t="s">
        <v>15</v>
      </c>
      <c r="D2319" s="46" t="s">
        <v>43</v>
      </c>
      <c r="E2319" s="46" t="s">
        <v>109</v>
      </c>
      <c r="F2319" s="46" t="s">
        <v>5425</v>
      </c>
      <c r="G2319" s="46" t="n">
        <f aca="false">+593969833081</f>
        <v>593969833081</v>
      </c>
      <c r="H2319" s="46" t="s">
        <v>5426</v>
      </c>
      <c r="I2319" s="46"/>
      <c r="J2319" s="1"/>
      <c r="K2319" s="1" t="s">
        <v>5358</v>
      </c>
      <c r="L2319" s="1"/>
      <c r="M2319" s="1"/>
      <c r="N2319" s="1"/>
      <c r="O2319" s="1"/>
      <c r="P2319" s="6"/>
      <c r="Q2319" s="1"/>
      <c r="R2319" s="1"/>
      <c r="S2319" s="1"/>
      <c r="T2319" s="1"/>
      <c r="U2319" s="1"/>
      <c r="V2319" s="1"/>
      <c r="W2319" s="1"/>
      <c r="X2319" s="1"/>
      <c r="Y2319" s="1"/>
      <c r="Z2319" s="1"/>
    </row>
    <row r="2320" customFormat="false" ht="21.75" hidden="false" customHeight="true" outlineLevel="0" collapsed="false">
      <c r="A2320" s="4" t="n">
        <v>43497</v>
      </c>
      <c r="B2320" s="53" t="s">
        <v>48</v>
      </c>
      <c r="C2320" s="46" t="s">
        <v>15</v>
      </c>
      <c r="D2320" s="46" t="s">
        <v>43</v>
      </c>
      <c r="E2320" s="46" t="s">
        <v>109</v>
      </c>
      <c r="F2320" s="46" t="s">
        <v>5427</v>
      </c>
      <c r="G2320" s="46" t="n">
        <f aca="false">+593983385408</f>
        <v>593983385408</v>
      </c>
      <c r="H2320" s="46" t="s">
        <v>5428</v>
      </c>
      <c r="I2320" s="46"/>
      <c r="J2320" s="1"/>
      <c r="K2320" s="1" t="s">
        <v>5429</v>
      </c>
      <c r="L2320" s="1"/>
      <c r="M2320" s="1"/>
      <c r="N2320" s="1"/>
      <c r="O2320" s="1"/>
      <c r="P2320" s="6"/>
      <c r="Q2320" s="1"/>
      <c r="R2320" s="1"/>
      <c r="S2320" s="1"/>
      <c r="T2320" s="1"/>
      <c r="U2320" s="1"/>
      <c r="V2320" s="1"/>
      <c r="W2320" s="1"/>
      <c r="X2320" s="1"/>
      <c r="Y2320" s="1"/>
      <c r="Z2320" s="1"/>
    </row>
    <row r="2321" customFormat="false" ht="21.75" hidden="false" customHeight="true" outlineLevel="0" collapsed="false">
      <c r="A2321" s="4" t="n">
        <v>43497</v>
      </c>
      <c r="B2321" s="53" t="s">
        <v>1106</v>
      </c>
      <c r="C2321" s="46" t="s">
        <v>15</v>
      </c>
      <c r="D2321" s="46" t="s">
        <v>43</v>
      </c>
      <c r="E2321" s="46" t="s">
        <v>109</v>
      </c>
      <c r="F2321" s="46" t="s">
        <v>4399</v>
      </c>
      <c r="G2321" s="46" t="n">
        <f aca="false">+593982402103</f>
        <v>593982402103</v>
      </c>
      <c r="H2321" s="46" t="s">
        <v>5430</v>
      </c>
      <c r="I2321" s="46"/>
      <c r="J2321" s="1"/>
      <c r="K2321" s="1" t="s">
        <v>1156</v>
      </c>
      <c r="L2321" s="1"/>
      <c r="M2321" s="1"/>
      <c r="N2321" s="1"/>
      <c r="O2321" s="1"/>
      <c r="P2321" s="6"/>
      <c r="Q2321" s="1"/>
      <c r="R2321" s="1"/>
      <c r="S2321" s="1"/>
      <c r="T2321" s="1"/>
      <c r="U2321" s="1"/>
      <c r="V2321" s="1"/>
      <c r="W2321" s="1"/>
      <c r="X2321" s="1"/>
      <c r="Y2321" s="1"/>
      <c r="Z2321" s="1"/>
    </row>
    <row r="2322" customFormat="false" ht="21.75" hidden="false" customHeight="true" outlineLevel="0" collapsed="false">
      <c r="A2322" s="4" t="n">
        <v>43497</v>
      </c>
      <c r="B2322" s="53" t="s">
        <v>532</v>
      </c>
      <c r="C2322" s="46" t="s">
        <v>15</v>
      </c>
      <c r="D2322" s="46" t="s">
        <v>43</v>
      </c>
      <c r="E2322" s="46" t="s">
        <v>109</v>
      </c>
      <c r="F2322" s="46" t="s">
        <v>5431</v>
      </c>
      <c r="G2322" s="46" t="n">
        <f aca="false">+593987769768</f>
        <v>593987769768</v>
      </c>
      <c r="H2322" s="46" t="s">
        <v>5432</v>
      </c>
      <c r="I2322" s="46"/>
      <c r="J2322" s="1"/>
      <c r="K2322" s="1" t="s">
        <v>5433</v>
      </c>
      <c r="L2322" s="1"/>
      <c r="M2322" s="1"/>
      <c r="N2322" s="1"/>
      <c r="O2322" s="1"/>
      <c r="P2322" s="6"/>
      <c r="Q2322" s="1"/>
      <c r="R2322" s="1"/>
      <c r="S2322" s="1"/>
      <c r="T2322" s="1"/>
      <c r="U2322" s="1"/>
      <c r="V2322" s="1"/>
      <c r="W2322" s="1"/>
      <c r="X2322" s="1"/>
      <c r="Y2322" s="1"/>
      <c r="Z2322" s="1"/>
    </row>
    <row r="2323" customFormat="false" ht="21.75" hidden="false" customHeight="true" outlineLevel="0" collapsed="false">
      <c r="A2323" s="4" t="n">
        <v>43497</v>
      </c>
      <c r="B2323" s="53" t="s">
        <v>48</v>
      </c>
      <c r="C2323" s="46" t="s">
        <v>15</v>
      </c>
      <c r="D2323" s="46" t="s">
        <v>43</v>
      </c>
      <c r="E2323" s="46" t="s">
        <v>109</v>
      </c>
      <c r="F2323" s="46" t="s">
        <v>5434</v>
      </c>
      <c r="G2323" s="46" t="n">
        <f aca="false">+593959703568</f>
        <v>593959703568</v>
      </c>
      <c r="H2323" s="46" t="s">
        <v>5435</v>
      </c>
      <c r="I2323" s="46"/>
      <c r="J2323" s="1"/>
      <c r="K2323" s="1" t="s">
        <v>5436</v>
      </c>
      <c r="L2323" s="1"/>
      <c r="M2323" s="1"/>
      <c r="N2323" s="1"/>
      <c r="O2323" s="1"/>
      <c r="P2323" s="6"/>
      <c r="Q2323" s="1"/>
      <c r="R2323" s="1"/>
      <c r="S2323" s="1"/>
      <c r="T2323" s="1"/>
      <c r="U2323" s="1"/>
      <c r="V2323" s="1"/>
      <c r="W2323" s="1"/>
      <c r="X2323" s="1"/>
      <c r="Y2323" s="1"/>
      <c r="Z2323" s="1"/>
    </row>
    <row r="2324" customFormat="false" ht="21.75" hidden="false" customHeight="true" outlineLevel="0" collapsed="false">
      <c r="A2324" s="4" t="n">
        <v>43497</v>
      </c>
      <c r="B2324" s="53" t="s">
        <v>1831</v>
      </c>
      <c r="C2324" s="46" t="s">
        <v>15</v>
      </c>
      <c r="D2324" s="46" t="s">
        <v>43</v>
      </c>
      <c r="E2324" s="46" t="s">
        <v>109</v>
      </c>
      <c r="F2324" s="46" t="s">
        <v>5437</v>
      </c>
      <c r="G2324" s="46" t="n">
        <f aca="false">+593988713003</f>
        <v>593988713003</v>
      </c>
      <c r="H2324" s="46" t="s">
        <v>5438</v>
      </c>
      <c r="I2324" s="46"/>
      <c r="J2324" s="1"/>
      <c r="K2324" s="1" t="s">
        <v>1156</v>
      </c>
      <c r="L2324" s="1"/>
      <c r="M2324" s="1"/>
      <c r="N2324" s="1"/>
      <c r="O2324" s="1"/>
      <c r="P2324" s="6"/>
      <c r="Q2324" s="1"/>
      <c r="R2324" s="1"/>
      <c r="S2324" s="1"/>
      <c r="T2324" s="1"/>
      <c r="U2324" s="1"/>
      <c r="V2324" s="1"/>
      <c r="W2324" s="1"/>
      <c r="X2324" s="1"/>
      <c r="Y2324" s="1"/>
      <c r="Z2324" s="1"/>
    </row>
    <row r="2325" customFormat="false" ht="21.75" hidden="false" customHeight="true" outlineLevel="0" collapsed="false">
      <c r="A2325" s="4" t="n">
        <v>43497</v>
      </c>
      <c r="B2325" s="53" t="s">
        <v>1114</v>
      </c>
      <c r="C2325" s="46" t="s">
        <v>15</v>
      </c>
      <c r="D2325" s="46" t="s">
        <v>43</v>
      </c>
      <c r="E2325" s="46" t="s">
        <v>109</v>
      </c>
      <c r="F2325" s="46" t="s">
        <v>5439</v>
      </c>
      <c r="G2325" s="46" t="n">
        <f aca="false">+593996625334</f>
        <v>593996625334</v>
      </c>
      <c r="H2325" s="46" t="s">
        <v>5440</v>
      </c>
      <c r="I2325" s="46"/>
      <c r="J2325" s="1"/>
      <c r="K2325" s="1" t="s">
        <v>1149</v>
      </c>
      <c r="L2325" s="1"/>
      <c r="M2325" s="1"/>
      <c r="N2325" s="1"/>
      <c r="O2325" s="1"/>
      <c r="P2325" s="6"/>
      <c r="Q2325" s="1"/>
      <c r="R2325" s="1"/>
      <c r="S2325" s="1"/>
      <c r="T2325" s="1"/>
      <c r="U2325" s="1"/>
      <c r="V2325" s="1"/>
      <c r="W2325" s="1"/>
      <c r="X2325" s="1"/>
      <c r="Y2325" s="1"/>
      <c r="Z2325" s="1"/>
    </row>
    <row r="2326" customFormat="false" ht="21.75" hidden="false" customHeight="true" outlineLevel="0" collapsed="false">
      <c r="A2326" s="4" t="n">
        <v>43497</v>
      </c>
      <c r="B2326" s="53" t="s">
        <v>42</v>
      </c>
      <c r="C2326" s="46" t="s">
        <v>15</v>
      </c>
      <c r="D2326" s="46" t="s">
        <v>43</v>
      </c>
      <c r="E2326" s="46" t="s">
        <v>109</v>
      </c>
      <c r="F2326" s="46" t="s">
        <v>5441</v>
      </c>
      <c r="G2326" s="46" t="n">
        <f aca="false">+5930992343908</f>
        <v>5930992343908</v>
      </c>
      <c r="H2326" s="46" t="s">
        <v>5442</v>
      </c>
      <c r="I2326" s="46"/>
      <c r="J2326" s="1"/>
      <c r="K2326" s="1" t="s">
        <v>1149</v>
      </c>
      <c r="L2326" s="1"/>
      <c r="M2326" s="1"/>
      <c r="N2326" s="1"/>
      <c r="O2326" s="1"/>
      <c r="P2326" s="6"/>
      <c r="Q2326" s="1"/>
      <c r="R2326" s="1"/>
      <c r="S2326" s="1"/>
      <c r="T2326" s="1"/>
      <c r="U2326" s="1"/>
      <c r="V2326" s="1"/>
      <c r="W2326" s="1"/>
      <c r="X2326" s="1"/>
      <c r="Y2326" s="1"/>
      <c r="Z2326" s="1"/>
    </row>
    <row r="2327" customFormat="false" ht="21.75" hidden="false" customHeight="true" outlineLevel="0" collapsed="false">
      <c r="A2327" s="4" t="n">
        <v>43497</v>
      </c>
      <c r="B2327" s="53" t="s">
        <v>48</v>
      </c>
      <c r="C2327" s="46" t="s">
        <v>15</v>
      </c>
      <c r="D2327" s="46" t="s">
        <v>43</v>
      </c>
      <c r="E2327" s="46" t="s">
        <v>109</v>
      </c>
      <c r="F2327" s="46" t="s">
        <v>5443</v>
      </c>
      <c r="G2327" s="46" t="n">
        <f aca="false">+593958626972</f>
        <v>593958626972</v>
      </c>
      <c r="H2327" s="46" t="s">
        <v>5444</v>
      </c>
      <c r="I2327" s="46"/>
      <c r="J2327" s="1"/>
      <c r="K2327" s="1" t="s">
        <v>5445</v>
      </c>
      <c r="L2327" s="1"/>
      <c r="M2327" s="1"/>
      <c r="N2327" s="1"/>
      <c r="O2327" s="1"/>
      <c r="P2327" s="6"/>
      <c r="Q2327" s="1"/>
      <c r="R2327" s="1"/>
      <c r="S2327" s="1"/>
      <c r="T2327" s="1"/>
      <c r="U2327" s="1"/>
      <c r="V2327" s="1"/>
      <c r="W2327" s="1"/>
      <c r="X2327" s="1"/>
      <c r="Y2327" s="1"/>
      <c r="Z2327" s="1"/>
    </row>
    <row r="2328" customFormat="false" ht="21.75" hidden="false" customHeight="true" outlineLevel="0" collapsed="false">
      <c r="A2328" s="4" t="n">
        <v>43497</v>
      </c>
      <c r="B2328" s="53" t="s">
        <v>48</v>
      </c>
      <c r="C2328" s="46" t="s">
        <v>15</v>
      </c>
      <c r="D2328" s="46" t="s">
        <v>43</v>
      </c>
      <c r="E2328" s="46" t="s">
        <v>109</v>
      </c>
      <c r="F2328" s="46" t="s">
        <v>5446</v>
      </c>
      <c r="G2328" s="46" t="n">
        <f aca="false">+5930979884413</f>
        <v>5930979884413</v>
      </c>
      <c r="H2328" s="46" t="s">
        <v>5447</v>
      </c>
      <c r="I2328" s="46"/>
      <c r="J2328" s="1"/>
      <c r="K2328" s="1" t="s">
        <v>5448</v>
      </c>
      <c r="L2328" s="1"/>
      <c r="M2328" s="1"/>
      <c r="N2328" s="1"/>
      <c r="O2328" s="1"/>
      <c r="P2328" s="6"/>
      <c r="Q2328" s="1"/>
      <c r="R2328" s="1"/>
      <c r="S2328" s="1"/>
      <c r="T2328" s="1"/>
      <c r="U2328" s="1"/>
      <c r="V2328" s="1"/>
      <c r="W2328" s="1"/>
      <c r="X2328" s="1"/>
      <c r="Y2328" s="1"/>
      <c r="Z2328" s="1"/>
    </row>
    <row r="2329" customFormat="false" ht="21.75" hidden="false" customHeight="true" outlineLevel="0" collapsed="false">
      <c r="A2329" s="4" t="n">
        <v>43497</v>
      </c>
      <c r="B2329" s="53" t="s">
        <v>42</v>
      </c>
      <c r="C2329" s="46" t="s">
        <v>15</v>
      </c>
      <c r="D2329" s="46" t="s">
        <v>43</v>
      </c>
      <c r="E2329" s="46" t="s">
        <v>109</v>
      </c>
      <c r="F2329" s="46" t="s">
        <v>5312</v>
      </c>
      <c r="G2329" s="46" t="n">
        <f aca="false">+593980741550</f>
        <v>593980741550</v>
      </c>
      <c r="H2329" s="46" t="s">
        <v>5449</v>
      </c>
      <c r="I2329" s="46"/>
      <c r="J2329" s="1"/>
      <c r="K2329" s="1" t="s">
        <v>5448</v>
      </c>
      <c r="L2329" s="1"/>
      <c r="M2329" s="1"/>
      <c r="N2329" s="1"/>
      <c r="O2329" s="1"/>
      <c r="P2329" s="6"/>
      <c r="Q2329" s="1"/>
      <c r="R2329" s="1"/>
      <c r="S2329" s="1"/>
      <c r="T2329" s="1"/>
      <c r="U2329" s="1"/>
      <c r="V2329" s="1"/>
      <c r="W2329" s="1"/>
      <c r="X2329" s="1"/>
      <c r="Y2329" s="1"/>
      <c r="Z2329" s="1"/>
    </row>
    <row r="2330" customFormat="false" ht="21.75" hidden="false" customHeight="true" outlineLevel="0" collapsed="false">
      <c r="A2330" s="4" t="n">
        <v>43497</v>
      </c>
      <c r="B2330" s="53" t="s">
        <v>1114</v>
      </c>
      <c r="C2330" s="46" t="s">
        <v>15</v>
      </c>
      <c r="D2330" s="46" t="s">
        <v>43</v>
      </c>
      <c r="E2330" s="46" t="s">
        <v>109</v>
      </c>
      <c r="F2330" s="46" t="s">
        <v>5450</v>
      </c>
      <c r="G2330" s="46" t="n">
        <f aca="false">+593939602673</f>
        <v>593939602673</v>
      </c>
      <c r="H2330" s="46" t="s">
        <v>5451</v>
      </c>
      <c r="I2330" s="46"/>
      <c r="J2330" s="1"/>
      <c r="K2330" s="1" t="s">
        <v>1149</v>
      </c>
      <c r="L2330" s="1"/>
      <c r="M2330" s="1"/>
      <c r="N2330" s="1"/>
      <c r="O2330" s="1"/>
      <c r="P2330" s="6"/>
      <c r="Q2330" s="1"/>
      <c r="R2330" s="1"/>
      <c r="S2330" s="1"/>
      <c r="T2330" s="1"/>
      <c r="U2330" s="1"/>
      <c r="V2330" s="1"/>
      <c r="W2330" s="1"/>
      <c r="X2330" s="1"/>
      <c r="Y2330" s="1"/>
      <c r="Z2330" s="1"/>
    </row>
    <row r="2331" customFormat="false" ht="21.75" hidden="false" customHeight="true" outlineLevel="0" collapsed="false">
      <c r="A2331" s="4" t="n">
        <v>43497</v>
      </c>
      <c r="B2331" s="53" t="s">
        <v>532</v>
      </c>
      <c r="C2331" s="46" t="s">
        <v>15</v>
      </c>
      <c r="D2331" s="46" t="s">
        <v>43</v>
      </c>
      <c r="E2331" s="46" t="s">
        <v>109</v>
      </c>
      <c r="F2331" s="46" t="s">
        <v>5452</v>
      </c>
      <c r="G2331" s="46" t="n">
        <f aca="false">+5930998391703</f>
        <v>5930998391703</v>
      </c>
      <c r="H2331" s="46" t="s">
        <v>5453</v>
      </c>
      <c r="I2331" s="46"/>
      <c r="J2331" s="1"/>
      <c r="K2331" s="1" t="s">
        <v>1156</v>
      </c>
      <c r="L2331" s="1"/>
      <c r="M2331" s="1"/>
      <c r="N2331" s="1"/>
      <c r="O2331" s="1"/>
      <c r="P2331" s="6"/>
      <c r="Q2331" s="1"/>
      <c r="R2331" s="1"/>
      <c r="S2331" s="1"/>
      <c r="T2331" s="1"/>
      <c r="U2331" s="1"/>
      <c r="V2331" s="1"/>
      <c r="W2331" s="1"/>
      <c r="X2331" s="1"/>
      <c r="Y2331" s="1"/>
      <c r="Z2331" s="1"/>
    </row>
    <row r="2332" customFormat="false" ht="21.75" hidden="false" customHeight="true" outlineLevel="0" collapsed="false">
      <c r="A2332" s="4" t="n">
        <v>43497</v>
      </c>
      <c r="B2332" s="53" t="s">
        <v>48</v>
      </c>
      <c r="C2332" s="46" t="s">
        <v>15</v>
      </c>
      <c r="D2332" s="46" t="s">
        <v>43</v>
      </c>
      <c r="E2332" s="46" t="s">
        <v>109</v>
      </c>
      <c r="F2332" s="46" t="s">
        <v>5454</v>
      </c>
      <c r="G2332" s="46" t="n">
        <f aca="false">+593985860907</f>
        <v>593985860907</v>
      </c>
      <c r="H2332" s="46" t="s">
        <v>5455</v>
      </c>
      <c r="I2332" s="46"/>
      <c r="J2332" s="1"/>
      <c r="K2332" s="1" t="s">
        <v>5456</v>
      </c>
      <c r="L2332" s="1"/>
      <c r="M2332" s="1"/>
      <c r="N2332" s="1"/>
      <c r="O2332" s="1"/>
      <c r="P2332" s="6"/>
      <c r="Q2332" s="1"/>
      <c r="R2332" s="1"/>
      <c r="S2332" s="1"/>
      <c r="T2332" s="1"/>
      <c r="U2332" s="1"/>
      <c r="V2332" s="1"/>
      <c r="W2332" s="1"/>
      <c r="X2332" s="1"/>
      <c r="Y2332" s="1"/>
      <c r="Z2332" s="1"/>
    </row>
    <row r="2333" customFormat="false" ht="21.75" hidden="false" customHeight="true" outlineLevel="0" collapsed="false">
      <c r="A2333" s="4" t="n">
        <v>43497</v>
      </c>
      <c r="B2333" s="53" t="s">
        <v>415</v>
      </c>
      <c r="C2333" s="46" t="s">
        <v>15</v>
      </c>
      <c r="D2333" s="46" t="s">
        <v>43</v>
      </c>
      <c r="E2333" s="46" t="s">
        <v>109</v>
      </c>
      <c r="F2333" s="46" t="s">
        <v>5457</v>
      </c>
      <c r="G2333" s="46" t="n">
        <f aca="false">+593983143832</f>
        <v>593983143832</v>
      </c>
      <c r="H2333" s="46" t="s">
        <v>5458</v>
      </c>
      <c r="I2333" s="46"/>
      <c r="J2333" s="1"/>
      <c r="K2333" s="1" t="s">
        <v>1156</v>
      </c>
      <c r="L2333" s="1"/>
      <c r="M2333" s="1"/>
      <c r="N2333" s="1"/>
      <c r="O2333" s="1"/>
      <c r="P2333" s="6"/>
      <c r="Q2333" s="1"/>
      <c r="R2333" s="1"/>
      <c r="S2333" s="1"/>
      <c r="T2333" s="1"/>
      <c r="U2333" s="1"/>
      <c r="V2333" s="1"/>
      <c r="W2333" s="1"/>
      <c r="X2333" s="1"/>
      <c r="Y2333" s="1"/>
      <c r="Z2333" s="1"/>
    </row>
    <row r="2334" customFormat="false" ht="21.75" hidden="false" customHeight="true" outlineLevel="0" collapsed="false">
      <c r="A2334" s="4" t="n">
        <v>43497</v>
      </c>
      <c r="B2334" s="53" t="s">
        <v>42</v>
      </c>
      <c r="C2334" s="46" t="s">
        <v>26</v>
      </c>
      <c r="D2334" s="46" t="s">
        <v>43</v>
      </c>
      <c r="E2334" s="46" t="s">
        <v>109</v>
      </c>
      <c r="F2334" s="46" t="s">
        <v>5459</v>
      </c>
      <c r="G2334" s="46" t="n">
        <f aca="false">+5930981616180</f>
        <v>5930981616180</v>
      </c>
      <c r="H2334" s="46" t="s">
        <v>5460</v>
      </c>
      <c r="I2334" s="46"/>
      <c r="J2334" s="1"/>
      <c r="K2334" s="1" t="s">
        <v>1149</v>
      </c>
      <c r="L2334" s="1"/>
      <c r="M2334" s="1"/>
      <c r="N2334" s="1"/>
      <c r="O2334" s="1"/>
      <c r="P2334" s="6"/>
      <c r="Q2334" s="1"/>
      <c r="R2334" s="1"/>
      <c r="S2334" s="1"/>
      <c r="T2334" s="1"/>
      <c r="U2334" s="1"/>
      <c r="V2334" s="1"/>
      <c r="W2334" s="1"/>
      <c r="X2334" s="1"/>
      <c r="Y2334" s="1"/>
      <c r="Z2334" s="1"/>
    </row>
    <row r="2335" customFormat="false" ht="21.75" hidden="false" customHeight="true" outlineLevel="0" collapsed="false">
      <c r="A2335" s="4" t="n">
        <v>43497</v>
      </c>
      <c r="B2335" s="53" t="s">
        <v>532</v>
      </c>
      <c r="C2335" s="46" t="s">
        <v>15</v>
      </c>
      <c r="D2335" s="46" t="s">
        <v>43</v>
      </c>
      <c r="E2335" s="46" t="s">
        <v>109</v>
      </c>
      <c r="F2335" s="46" t="s">
        <v>5461</v>
      </c>
      <c r="G2335" s="46" t="n">
        <f aca="false">+593978581254</f>
        <v>593978581254</v>
      </c>
      <c r="H2335" s="46" t="s">
        <v>5462</v>
      </c>
      <c r="I2335" s="46"/>
      <c r="J2335" s="1"/>
      <c r="K2335" s="1" t="s">
        <v>1156</v>
      </c>
      <c r="L2335" s="1"/>
      <c r="M2335" s="1"/>
      <c r="N2335" s="1"/>
      <c r="O2335" s="1"/>
      <c r="P2335" s="6"/>
      <c r="Q2335" s="1"/>
      <c r="R2335" s="1"/>
      <c r="S2335" s="1"/>
      <c r="T2335" s="1"/>
      <c r="U2335" s="1"/>
      <c r="V2335" s="1"/>
      <c r="W2335" s="1"/>
      <c r="X2335" s="1"/>
      <c r="Y2335" s="1"/>
      <c r="Z2335" s="1"/>
    </row>
    <row r="2336" customFormat="false" ht="21.75" hidden="false" customHeight="true" outlineLevel="0" collapsed="false">
      <c r="A2336" s="4" t="n">
        <v>43497</v>
      </c>
      <c r="B2336" s="53" t="s">
        <v>48</v>
      </c>
      <c r="C2336" s="46" t="s">
        <v>15</v>
      </c>
      <c r="D2336" s="46" t="s">
        <v>43</v>
      </c>
      <c r="E2336" s="46" t="s">
        <v>109</v>
      </c>
      <c r="F2336" s="46" t="s">
        <v>5463</v>
      </c>
      <c r="G2336" s="46" t="n">
        <f aca="false">+593969611691</f>
        <v>593969611691</v>
      </c>
      <c r="H2336" s="46" t="s">
        <v>5464</v>
      </c>
      <c r="I2336" s="46"/>
      <c r="J2336" s="1"/>
      <c r="K2336" s="1" t="s">
        <v>1156</v>
      </c>
      <c r="L2336" s="1"/>
      <c r="M2336" s="1"/>
      <c r="N2336" s="1"/>
      <c r="O2336" s="1"/>
      <c r="P2336" s="6"/>
      <c r="Q2336" s="1"/>
      <c r="R2336" s="1"/>
      <c r="S2336" s="1"/>
      <c r="T2336" s="1"/>
      <c r="U2336" s="1"/>
      <c r="V2336" s="1"/>
      <c r="W2336" s="1"/>
      <c r="X2336" s="1"/>
      <c r="Y2336" s="1"/>
      <c r="Z2336" s="1"/>
    </row>
    <row r="2337" customFormat="false" ht="21.75" hidden="false" customHeight="true" outlineLevel="0" collapsed="false">
      <c r="A2337" s="4" t="n">
        <v>43497</v>
      </c>
      <c r="B2337" s="53" t="s">
        <v>532</v>
      </c>
      <c r="C2337" s="46" t="s">
        <v>15</v>
      </c>
      <c r="D2337" s="46" t="s">
        <v>43</v>
      </c>
      <c r="E2337" s="46" t="s">
        <v>109</v>
      </c>
      <c r="F2337" s="46" t="s">
        <v>5465</v>
      </c>
      <c r="G2337" s="46" t="n">
        <f aca="false">+5930996105047</f>
        <v>5930996105047</v>
      </c>
      <c r="H2337" s="46" t="s">
        <v>5466</v>
      </c>
      <c r="I2337" s="46"/>
      <c r="J2337" s="1"/>
      <c r="K2337" s="1" t="s">
        <v>1156</v>
      </c>
      <c r="L2337" s="1"/>
      <c r="M2337" s="1"/>
      <c r="N2337" s="1"/>
      <c r="O2337" s="1"/>
      <c r="P2337" s="6"/>
      <c r="Q2337" s="1"/>
      <c r="R2337" s="1"/>
      <c r="S2337" s="1"/>
      <c r="T2337" s="1"/>
      <c r="U2337" s="1"/>
      <c r="V2337" s="1"/>
      <c r="W2337" s="1"/>
      <c r="X2337" s="1"/>
      <c r="Y2337" s="1"/>
      <c r="Z2337" s="1"/>
    </row>
    <row r="2338" customFormat="false" ht="21.75" hidden="false" customHeight="true" outlineLevel="0" collapsed="false">
      <c r="A2338" s="4" t="n">
        <v>43497</v>
      </c>
      <c r="B2338" s="53" t="s">
        <v>48</v>
      </c>
      <c r="C2338" s="46" t="s">
        <v>15</v>
      </c>
      <c r="D2338" s="46" t="s">
        <v>43</v>
      </c>
      <c r="E2338" s="46" t="s">
        <v>109</v>
      </c>
      <c r="F2338" s="46" t="s">
        <v>5467</v>
      </c>
      <c r="G2338" s="46" t="n">
        <f aca="false">+593969548167</f>
        <v>593969548167</v>
      </c>
      <c r="H2338" s="46" t="s">
        <v>5468</v>
      </c>
      <c r="I2338" s="46"/>
      <c r="J2338" s="1"/>
      <c r="K2338" s="1" t="s">
        <v>1156</v>
      </c>
      <c r="L2338" s="1"/>
      <c r="M2338" s="1"/>
      <c r="N2338" s="1"/>
      <c r="O2338" s="1"/>
      <c r="P2338" s="6"/>
      <c r="Q2338" s="1"/>
      <c r="R2338" s="1"/>
      <c r="S2338" s="1"/>
      <c r="T2338" s="1"/>
      <c r="U2338" s="1"/>
      <c r="V2338" s="1"/>
      <c r="W2338" s="1"/>
      <c r="X2338" s="1"/>
      <c r="Y2338" s="1"/>
      <c r="Z2338" s="1"/>
    </row>
    <row r="2339" customFormat="false" ht="21.75" hidden="false" customHeight="true" outlineLevel="0" collapsed="false">
      <c r="A2339" s="4" t="n">
        <v>43497</v>
      </c>
      <c r="B2339" s="53" t="s">
        <v>178</v>
      </c>
      <c r="C2339" s="46" t="s">
        <v>15</v>
      </c>
      <c r="D2339" s="46" t="s">
        <v>43</v>
      </c>
      <c r="E2339" s="46" t="s">
        <v>109</v>
      </c>
      <c r="F2339" s="46" t="s">
        <v>5469</v>
      </c>
      <c r="G2339" s="46" t="n">
        <f aca="false">+593993022796</f>
        <v>593993022796</v>
      </c>
      <c r="H2339" s="46" t="s">
        <v>5470</v>
      </c>
      <c r="I2339" s="46"/>
      <c r="J2339" s="1"/>
      <c r="K2339" s="1" t="s">
        <v>5471</v>
      </c>
      <c r="L2339" s="1"/>
      <c r="M2339" s="1"/>
      <c r="N2339" s="1"/>
      <c r="O2339" s="1"/>
      <c r="P2339" s="6"/>
      <c r="Q2339" s="1"/>
      <c r="R2339" s="1"/>
      <c r="S2339" s="1"/>
      <c r="T2339" s="1"/>
      <c r="U2339" s="1"/>
      <c r="V2339" s="1"/>
      <c r="W2339" s="1"/>
      <c r="X2339" s="1"/>
      <c r="Y2339" s="1"/>
      <c r="Z2339" s="1"/>
    </row>
    <row r="2340" customFormat="false" ht="21.75" hidden="false" customHeight="true" outlineLevel="0" collapsed="false">
      <c r="A2340" s="4" t="n">
        <v>43497</v>
      </c>
      <c r="B2340" s="53" t="s">
        <v>127</v>
      </c>
      <c r="C2340" s="46" t="s">
        <v>15</v>
      </c>
      <c r="D2340" s="46" t="s">
        <v>43</v>
      </c>
      <c r="E2340" s="46" t="s">
        <v>109</v>
      </c>
      <c r="F2340" s="46" t="s">
        <v>5472</v>
      </c>
      <c r="G2340" s="46" t="n">
        <f aca="false">+593939728055</f>
        <v>593939728055</v>
      </c>
      <c r="H2340" s="46" t="s">
        <v>5473</v>
      </c>
      <c r="I2340" s="46"/>
      <c r="J2340" s="1"/>
      <c r="K2340" s="1" t="s">
        <v>21</v>
      </c>
      <c r="L2340" s="1"/>
      <c r="M2340" s="1"/>
      <c r="N2340" s="1"/>
      <c r="O2340" s="1"/>
      <c r="P2340" s="6"/>
      <c r="Q2340" s="1"/>
      <c r="R2340" s="1"/>
      <c r="S2340" s="1"/>
      <c r="T2340" s="1"/>
      <c r="U2340" s="1"/>
      <c r="V2340" s="1"/>
      <c r="W2340" s="1"/>
      <c r="X2340" s="1"/>
      <c r="Y2340" s="1"/>
      <c r="Z2340" s="1"/>
    </row>
    <row r="2341" customFormat="false" ht="21.75" hidden="false" customHeight="true" outlineLevel="0" collapsed="false">
      <c r="A2341" s="4" t="n">
        <v>43497</v>
      </c>
      <c r="B2341" s="53" t="s">
        <v>1106</v>
      </c>
      <c r="C2341" s="46" t="s">
        <v>15</v>
      </c>
      <c r="D2341" s="46" t="s">
        <v>43</v>
      </c>
      <c r="E2341" s="46" t="s">
        <v>109</v>
      </c>
      <c r="F2341" s="46" t="s">
        <v>5474</v>
      </c>
      <c r="G2341" s="46" t="n">
        <f aca="false">+5930967749878</f>
        <v>5930967749878</v>
      </c>
      <c r="H2341" s="46" t="s">
        <v>5475</v>
      </c>
      <c r="I2341" s="46"/>
      <c r="J2341" s="1"/>
      <c r="K2341" s="1" t="s">
        <v>5476</v>
      </c>
      <c r="L2341" s="1"/>
      <c r="M2341" s="1"/>
      <c r="N2341" s="1"/>
      <c r="O2341" s="1"/>
      <c r="P2341" s="6" t="s">
        <v>3126</v>
      </c>
      <c r="Q2341" s="1"/>
      <c r="R2341" s="1"/>
      <c r="S2341" s="1"/>
      <c r="T2341" s="1"/>
      <c r="U2341" s="1"/>
      <c r="V2341" s="1"/>
      <c r="W2341" s="1"/>
      <c r="X2341" s="1"/>
      <c r="Y2341" s="1"/>
      <c r="Z2341" s="1"/>
    </row>
    <row r="2342" customFormat="false" ht="21.75" hidden="false" customHeight="true" outlineLevel="0" collapsed="false">
      <c r="A2342" s="4" t="n">
        <v>43497</v>
      </c>
      <c r="B2342" s="52" t="s">
        <v>48</v>
      </c>
      <c r="C2342" s="67" t="s">
        <v>15</v>
      </c>
      <c r="D2342" s="67" t="s">
        <v>43</v>
      </c>
      <c r="E2342" s="63" t="s">
        <v>883</v>
      </c>
      <c r="F2342" s="50" t="s">
        <v>5477</v>
      </c>
      <c r="G2342" s="51" t="n">
        <v>939978389</v>
      </c>
      <c r="H2342" s="52"/>
      <c r="I2342" s="52"/>
      <c r="J2342" s="1"/>
      <c r="K2342" s="1" t="s">
        <v>1156</v>
      </c>
      <c r="L2342" s="1"/>
      <c r="M2342" s="1"/>
      <c r="N2342" s="1"/>
      <c r="O2342" s="1"/>
      <c r="P2342" s="6"/>
      <c r="Q2342" s="1"/>
      <c r="R2342" s="1"/>
      <c r="S2342" s="1"/>
      <c r="T2342" s="1"/>
      <c r="U2342" s="1"/>
      <c r="V2342" s="1"/>
      <c r="W2342" s="1"/>
      <c r="X2342" s="1"/>
      <c r="Y2342" s="1"/>
      <c r="Z2342" s="1"/>
    </row>
    <row r="2343" customFormat="false" ht="21.75" hidden="false" customHeight="true" outlineLevel="0" collapsed="false">
      <c r="A2343" s="4" t="n">
        <v>43497</v>
      </c>
      <c r="B2343" s="52" t="s">
        <v>415</v>
      </c>
      <c r="C2343" s="67" t="s">
        <v>15</v>
      </c>
      <c r="D2343" s="67" t="s">
        <v>43</v>
      </c>
      <c r="E2343" s="63" t="s">
        <v>883</v>
      </c>
      <c r="F2343" s="50" t="s">
        <v>5478</v>
      </c>
      <c r="G2343" s="51" t="n">
        <v>992623057</v>
      </c>
      <c r="H2343" s="52"/>
      <c r="I2343" s="52"/>
      <c r="J2343" s="1"/>
      <c r="K2343" s="1" t="s">
        <v>1156</v>
      </c>
      <c r="L2343" s="1"/>
      <c r="M2343" s="1"/>
      <c r="N2343" s="1"/>
      <c r="O2343" s="1"/>
      <c r="P2343" s="6"/>
      <c r="Q2343" s="1"/>
      <c r="R2343" s="1"/>
      <c r="S2343" s="1"/>
      <c r="T2343" s="1"/>
      <c r="U2343" s="1"/>
      <c r="V2343" s="1"/>
      <c r="W2343" s="1"/>
      <c r="X2343" s="1"/>
      <c r="Y2343" s="1"/>
      <c r="Z2343" s="1"/>
    </row>
    <row r="2344" customFormat="false" ht="21.75" hidden="false" customHeight="true" outlineLevel="0" collapsed="false">
      <c r="A2344" s="4" t="n">
        <v>43497</v>
      </c>
      <c r="B2344" s="52" t="s">
        <v>48</v>
      </c>
      <c r="C2344" s="67" t="s">
        <v>15</v>
      </c>
      <c r="D2344" s="67" t="s">
        <v>43</v>
      </c>
      <c r="E2344" s="63" t="s">
        <v>109</v>
      </c>
      <c r="F2344" s="50" t="s">
        <v>5479</v>
      </c>
      <c r="G2344" s="51" t="n">
        <v>996269295</v>
      </c>
      <c r="H2344" s="52" t="s">
        <v>5480</v>
      </c>
      <c r="I2344" s="52"/>
      <c r="J2344" s="1"/>
      <c r="K2344" s="1" t="s">
        <v>5481</v>
      </c>
      <c r="L2344" s="1"/>
      <c r="M2344" s="1"/>
      <c r="N2344" s="1"/>
      <c r="O2344" s="1"/>
      <c r="P2344" s="6"/>
      <c r="Q2344" s="1"/>
      <c r="R2344" s="1"/>
      <c r="S2344" s="1"/>
      <c r="T2344" s="1"/>
      <c r="U2344" s="1"/>
      <c r="V2344" s="1"/>
      <c r="W2344" s="1"/>
      <c r="X2344" s="1"/>
      <c r="Y2344" s="1"/>
      <c r="Z2344" s="1"/>
    </row>
    <row r="2345" customFormat="false" ht="21.75" hidden="false" customHeight="true" outlineLevel="0" collapsed="false">
      <c r="A2345" s="4" t="n">
        <v>43497</v>
      </c>
      <c r="B2345" s="52" t="s">
        <v>48</v>
      </c>
      <c r="C2345" s="67" t="s">
        <v>15</v>
      </c>
      <c r="D2345" s="67" t="s">
        <v>43</v>
      </c>
      <c r="E2345" s="63" t="s">
        <v>109</v>
      </c>
      <c r="F2345" s="50" t="s">
        <v>5482</v>
      </c>
      <c r="G2345" s="51" t="n">
        <v>991594360</v>
      </c>
      <c r="H2345" s="52"/>
      <c r="I2345" s="52"/>
      <c r="J2345" s="1"/>
      <c r="K2345" s="1" t="s">
        <v>5483</v>
      </c>
      <c r="L2345" s="1"/>
      <c r="M2345" s="1"/>
      <c r="N2345" s="1"/>
      <c r="O2345" s="1"/>
      <c r="P2345" s="6"/>
      <c r="Q2345" s="1"/>
      <c r="R2345" s="1"/>
      <c r="S2345" s="1"/>
      <c r="T2345" s="1"/>
      <c r="U2345" s="1"/>
      <c r="V2345" s="1"/>
      <c r="W2345" s="1"/>
      <c r="X2345" s="1"/>
      <c r="Y2345" s="1"/>
      <c r="Z2345" s="1"/>
    </row>
    <row r="2346" customFormat="false" ht="21.75" hidden="false" customHeight="true" outlineLevel="0" collapsed="false">
      <c r="A2346" s="4" t="n">
        <v>43497</v>
      </c>
      <c r="B2346" s="52" t="s">
        <v>48</v>
      </c>
      <c r="C2346" s="67" t="s">
        <v>15</v>
      </c>
      <c r="D2346" s="67" t="s">
        <v>43</v>
      </c>
      <c r="E2346" s="63" t="s">
        <v>109</v>
      </c>
      <c r="F2346" s="50" t="s">
        <v>5477</v>
      </c>
      <c r="G2346" s="51" t="n">
        <v>939978389</v>
      </c>
      <c r="H2346" s="52"/>
      <c r="I2346" s="52"/>
      <c r="J2346" s="1"/>
      <c r="K2346" s="1" t="s">
        <v>1156</v>
      </c>
      <c r="L2346" s="1"/>
      <c r="M2346" s="1"/>
      <c r="N2346" s="1"/>
      <c r="O2346" s="1"/>
      <c r="P2346" s="6"/>
      <c r="Q2346" s="1"/>
      <c r="R2346" s="1"/>
      <c r="S2346" s="1"/>
      <c r="T2346" s="1"/>
      <c r="U2346" s="1"/>
      <c r="V2346" s="1"/>
      <c r="W2346" s="1"/>
      <c r="X2346" s="1"/>
      <c r="Y2346" s="1"/>
      <c r="Z2346" s="1"/>
    </row>
    <row r="2347" customFormat="false" ht="21.75" hidden="false" customHeight="true" outlineLevel="0" collapsed="false">
      <c r="A2347" s="4" t="n">
        <v>43497</v>
      </c>
      <c r="B2347" s="52" t="s">
        <v>48</v>
      </c>
      <c r="C2347" s="67" t="s">
        <v>15</v>
      </c>
      <c r="D2347" s="67" t="s">
        <v>43</v>
      </c>
      <c r="E2347" s="63" t="s">
        <v>109</v>
      </c>
      <c r="F2347" s="50" t="s">
        <v>5484</v>
      </c>
      <c r="G2347" s="51" t="n">
        <v>986936882</v>
      </c>
      <c r="H2347" s="52"/>
      <c r="I2347" s="52"/>
      <c r="J2347" s="1"/>
      <c r="K2347" s="1" t="s">
        <v>5485</v>
      </c>
      <c r="L2347" s="1"/>
      <c r="M2347" s="1"/>
      <c r="N2347" s="1"/>
      <c r="O2347" s="1"/>
      <c r="P2347" s="6"/>
      <c r="Q2347" s="1"/>
      <c r="R2347" s="1"/>
      <c r="S2347" s="1"/>
      <c r="T2347" s="1"/>
      <c r="U2347" s="1"/>
      <c r="V2347" s="1"/>
      <c r="W2347" s="1"/>
      <c r="X2347" s="1"/>
      <c r="Y2347" s="1"/>
      <c r="Z2347" s="1"/>
    </row>
    <row r="2348" customFormat="false" ht="21.75" hidden="false" customHeight="true" outlineLevel="0" collapsed="false">
      <c r="A2348" s="4" t="n">
        <v>43497</v>
      </c>
      <c r="B2348" s="52" t="s">
        <v>48</v>
      </c>
      <c r="C2348" s="67" t="s">
        <v>15</v>
      </c>
      <c r="D2348" s="67" t="s">
        <v>43</v>
      </c>
      <c r="E2348" s="67" t="s">
        <v>44</v>
      </c>
      <c r="F2348" s="50" t="s">
        <v>5486</v>
      </c>
      <c r="G2348" s="68" t="n">
        <v>961140692</v>
      </c>
      <c r="H2348" s="69" t="s">
        <v>5487</v>
      </c>
      <c r="I2348" s="69"/>
      <c r="J2348" s="1"/>
      <c r="K2348" s="1" t="s">
        <v>1156</v>
      </c>
      <c r="L2348" s="1"/>
      <c r="M2348" s="1"/>
      <c r="N2348" s="1"/>
      <c r="O2348" s="1"/>
      <c r="P2348" s="6"/>
      <c r="Q2348" s="1"/>
      <c r="R2348" s="1"/>
      <c r="S2348" s="1"/>
      <c r="T2348" s="1"/>
      <c r="U2348" s="1"/>
      <c r="V2348" s="1"/>
      <c r="W2348" s="1"/>
      <c r="X2348" s="1"/>
      <c r="Y2348" s="1"/>
      <c r="Z2348" s="1"/>
    </row>
    <row r="2349" customFormat="false" ht="21.75" hidden="false" customHeight="true" outlineLevel="0" collapsed="false">
      <c r="A2349" s="4" t="n">
        <v>43497</v>
      </c>
      <c r="B2349" s="52" t="s">
        <v>48</v>
      </c>
      <c r="C2349" s="67" t="s">
        <v>15</v>
      </c>
      <c r="D2349" s="67" t="s">
        <v>43</v>
      </c>
      <c r="E2349" s="63" t="s">
        <v>109</v>
      </c>
      <c r="F2349" s="50" t="s">
        <v>5488</v>
      </c>
      <c r="G2349" s="51" t="n">
        <v>969695770</v>
      </c>
      <c r="H2349" s="52" t="s">
        <v>5489</v>
      </c>
      <c r="I2349" s="52"/>
      <c r="J2349" s="1"/>
      <c r="K2349" s="1" t="s">
        <v>1149</v>
      </c>
      <c r="L2349" s="1"/>
      <c r="M2349" s="1"/>
      <c r="N2349" s="1"/>
      <c r="O2349" s="1"/>
      <c r="P2349" s="6"/>
      <c r="Q2349" s="1"/>
      <c r="R2349" s="1"/>
      <c r="S2349" s="1"/>
      <c r="T2349" s="1"/>
      <c r="U2349" s="1"/>
      <c r="V2349" s="1"/>
      <c r="W2349" s="1"/>
      <c r="X2349" s="1"/>
      <c r="Y2349" s="1"/>
      <c r="Z2349" s="1"/>
    </row>
    <row r="2350" customFormat="false" ht="21.75" hidden="false" customHeight="true" outlineLevel="0" collapsed="false">
      <c r="A2350" s="4" t="n">
        <v>43497</v>
      </c>
      <c r="B2350" s="52" t="s">
        <v>127</v>
      </c>
      <c r="C2350" s="67" t="s">
        <v>15</v>
      </c>
      <c r="D2350" s="67" t="s">
        <v>43</v>
      </c>
      <c r="E2350" s="63" t="s">
        <v>109</v>
      </c>
      <c r="F2350" s="50" t="s">
        <v>5490</v>
      </c>
      <c r="G2350" s="51" t="n">
        <v>992783331</v>
      </c>
      <c r="H2350" s="52" t="s">
        <v>5491</v>
      </c>
      <c r="I2350" s="52"/>
      <c r="J2350" s="1"/>
      <c r="K2350" s="1" t="s">
        <v>21</v>
      </c>
      <c r="L2350" s="1"/>
      <c r="M2350" s="1"/>
      <c r="N2350" s="1"/>
      <c r="O2350" s="1"/>
      <c r="P2350" s="6"/>
      <c r="Q2350" s="1"/>
      <c r="R2350" s="1"/>
      <c r="S2350" s="1"/>
      <c r="T2350" s="1"/>
      <c r="U2350" s="1"/>
      <c r="V2350" s="1"/>
      <c r="W2350" s="1"/>
      <c r="X2350" s="1"/>
      <c r="Y2350" s="1"/>
      <c r="Z2350" s="1"/>
    </row>
    <row r="2351" customFormat="false" ht="21.75" hidden="false" customHeight="true" outlineLevel="0" collapsed="false">
      <c r="A2351" s="4" t="n">
        <v>43497</v>
      </c>
      <c r="B2351" s="53" t="s">
        <v>48</v>
      </c>
      <c r="C2351" s="46" t="s">
        <v>15</v>
      </c>
      <c r="D2351" s="46" t="s">
        <v>43</v>
      </c>
      <c r="E2351" s="46" t="s">
        <v>44</v>
      </c>
      <c r="F2351" s="46" t="s">
        <v>5492</v>
      </c>
      <c r="G2351" s="46" t="n">
        <f aca="false">+593968198957</f>
        <v>593968198957</v>
      </c>
      <c r="H2351" s="46" t="s">
        <v>5493</v>
      </c>
      <c r="I2351" s="46"/>
      <c r="J2351" s="1"/>
      <c r="K2351" s="1" t="s">
        <v>5494</v>
      </c>
      <c r="L2351" s="1"/>
      <c r="M2351" s="1"/>
      <c r="N2351" s="1"/>
      <c r="O2351" s="1"/>
      <c r="P2351" s="6"/>
      <c r="Q2351" s="1"/>
      <c r="R2351" s="1"/>
      <c r="S2351" s="1"/>
      <c r="T2351" s="1"/>
      <c r="U2351" s="1"/>
      <c r="V2351" s="1"/>
      <c r="W2351" s="1"/>
      <c r="X2351" s="1"/>
      <c r="Y2351" s="1"/>
      <c r="Z2351" s="1"/>
    </row>
    <row r="2352" customFormat="false" ht="21.75" hidden="false" customHeight="true" outlineLevel="0" collapsed="false">
      <c r="A2352" s="4" t="n">
        <v>43497</v>
      </c>
      <c r="B2352" s="53" t="s">
        <v>48</v>
      </c>
      <c r="C2352" s="46" t="s">
        <v>15</v>
      </c>
      <c r="D2352" s="46" t="s">
        <v>43</v>
      </c>
      <c r="E2352" s="46" t="s">
        <v>44</v>
      </c>
      <c r="F2352" s="46" t="s">
        <v>5495</v>
      </c>
      <c r="G2352" s="46" t="n">
        <f aca="false">+593998373410</f>
        <v>593998373410</v>
      </c>
      <c r="H2352" s="46" t="s">
        <v>5496</v>
      </c>
      <c r="I2352" s="46"/>
      <c r="J2352" s="1"/>
      <c r="K2352" s="1" t="s">
        <v>1156</v>
      </c>
      <c r="L2352" s="1"/>
      <c r="M2352" s="1"/>
      <c r="N2352" s="1"/>
      <c r="O2352" s="1"/>
      <c r="P2352" s="6"/>
      <c r="Q2352" s="1"/>
      <c r="R2352" s="1"/>
      <c r="S2352" s="1"/>
      <c r="T2352" s="1"/>
      <c r="U2352" s="1"/>
      <c r="V2352" s="1"/>
      <c r="W2352" s="1"/>
      <c r="X2352" s="1"/>
      <c r="Y2352" s="1"/>
      <c r="Z2352" s="1"/>
    </row>
    <row r="2353" customFormat="false" ht="21.75" hidden="false" customHeight="true" outlineLevel="0" collapsed="false">
      <c r="A2353" s="4" t="n">
        <v>43497</v>
      </c>
      <c r="B2353" s="53" t="s">
        <v>48</v>
      </c>
      <c r="C2353" s="46" t="s">
        <v>15</v>
      </c>
      <c r="D2353" s="46" t="s">
        <v>43</v>
      </c>
      <c r="E2353" s="46" t="s">
        <v>44</v>
      </c>
      <c r="F2353" s="46" t="s">
        <v>1551</v>
      </c>
      <c r="G2353" s="46" t="n">
        <f aca="false">+593995765743</f>
        <v>593995765743</v>
      </c>
      <c r="H2353" s="46" t="s">
        <v>1552</v>
      </c>
      <c r="I2353" s="46"/>
      <c r="J2353" s="1"/>
      <c r="K2353" s="1" t="s">
        <v>1156</v>
      </c>
      <c r="L2353" s="1"/>
      <c r="M2353" s="1"/>
      <c r="N2353" s="1"/>
      <c r="O2353" s="1"/>
      <c r="P2353" s="6"/>
      <c r="Q2353" s="1"/>
      <c r="R2353" s="1"/>
      <c r="S2353" s="1"/>
      <c r="T2353" s="1"/>
      <c r="U2353" s="1"/>
      <c r="V2353" s="1"/>
      <c r="W2353" s="1"/>
      <c r="X2353" s="1"/>
      <c r="Y2353" s="1"/>
      <c r="Z2353" s="1"/>
    </row>
    <row r="2354" customFormat="false" ht="21.75" hidden="false" customHeight="true" outlineLevel="0" collapsed="false">
      <c r="A2354" s="4" t="n">
        <v>43497</v>
      </c>
      <c r="B2354" s="53" t="s">
        <v>48</v>
      </c>
      <c r="C2354" s="46" t="s">
        <v>15</v>
      </c>
      <c r="D2354" s="46" t="s">
        <v>43</v>
      </c>
      <c r="E2354" s="46" t="s">
        <v>44</v>
      </c>
      <c r="F2354" s="46" t="s">
        <v>5497</v>
      </c>
      <c r="G2354" s="46" t="n">
        <f aca="false">+593990520029</f>
        <v>593990520029</v>
      </c>
      <c r="H2354" s="46" t="s">
        <v>5498</v>
      </c>
      <c r="I2354" s="46"/>
      <c r="J2354" s="1"/>
      <c r="K2354" s="1" t="s">
        <v>1156</v>
      </c>
      <c r="L2354" s="1"/>
      <c r="M2354" s="1"/>
      <c r="N2354" s="1"/>
      <c r="O2354" s="1"/>
      <c r="P2354" s="6"/>
      <c r="Q2354" s="1"/>
      <c r="R2354" s="1"/>
      <c r="S2354" s="1"/>
      <c r="T2354" s="1"/>
      <c r="U2354" s="1"/>
      <c r="V2354" s="1"/>
      <c r="W2354" s="1"/>
      <c r="X2354" s="1"/>
      <c r="Y2354" s="1"/>
      <c r="Z2354" s="1"/>
    </row>
    <row r="2355" customFormat="false" ht="21.75" hidden="false" customHeight="true" outlineLevel="0" collapsed="false">
      <c r="A2355" s="4" t="n">
        <v>43497</v>
      </c>
      <c r="B2355" s="53" t="s">
        <v>48</v>
      </c>
      <c r="C2355" s="46" t="s">
        <v>15</v>
      </c>
      <c r="D2355" s="46" t="s">
        <v>43</v>
      </c>
      <c r="E2355" s="46" t="s">
        <v>44</v>
      </c>
      <c r="F2355" s="46" t="s">
        <v>5499</v>
      </c>
      <c r="G2355" s="46" t="n">
        <f aca="false">+593967005999</f>
        <v>593967005999</v>
      </c>
      <c r="H2355" s="46" t="s">
        <v>5500</v>
      </c>
      <c r="I2355" s="46"/>
      <c r="J2355" s="1"/>
      <c r="K2355" s="1" t="s">
        <v>1156</v>
      </c>
      <c r="L2355" s="1"/>
      <c r="M2355" s="1"/>
      <c r="N2355" s="1"/>
      <c r="O2355" s="1"/>
      <c r="P2355" s="6"/>
      <c r="Q2355" s="1"/>
      <c r="R2355" s="1"/>
      <c r="S2355" s="1"/>
      <c r="T2355" s="1"/>
      <c r="U2355" s="1"/>
      <c r="V2355" s="1"/>
      <c r="W2355" s="1"/>
      <c r="X2355" s="1"/>
      <c r="Y2355" s="1"/>
      <c r="Z2355" s="1"/>
    </row>
    <row r="2356" customFormat="false" ht="21.75" hidden="false" customHeight="true" outlineLevel="0" collapsed="false">
      <c r="A2356" s="4" t="n">
        <v>43497</v>
      </c>
      <c r="B2356" s="53" t="s">
        <v>48</v>
      </c>
      <c r="C2356" s="46" t="s">
        <v>15</v>
      </c>
      <c r="D2356" s="46" t="s">
        <v>43</v>
      </c>
      <c r="E2356" s="46" t="s">
        <v>44</v>
      </c>
      <c r="F2356" s="46" t="s">
        <v>5501</v>
      </c>
      <c r="G2356" s="46" t="n">
        <f aca="false">+593990847040</f>
        <v>593990847040</v>
      </c>
      <c r="H2356" s="46" t="s">
        <v>5502</v>
      </c>
      <c r="I2356" s="46"/>
      <c r="J2356" s="1"/>
      <c r="K2356" s="1" t="s">
        <v>5503</v>
      </c>
      <c r="L2356" s="1"/>
      <c r="M2356" s="1"/>
      <c r="N2356" s="1"/>
      <c r="O2356" s="1"/>
      <c r="P2356" s="6"/>
      <c r="Q2356" s="1"/>
      <c r="R2356" s="1"/>
      <c r="S2356" s="1"/>
      <c r="T2356" s="1"/>
      <c r="U2356" s="1"/>
      <c r="V2356" s="1"/>
      <c r="W2356" s="1"/>
      <c r="X2356" s="1"/>
      <c r="Y2356" s="1"/>
      <c r="Z2356" s="1"/>
    </row>
    <row r="2357" customFormat="false" ht="21.75" hidden="false" customHeight="true" outlineLevel="0" collapsed="false">
      <c r="A2357" s="4" t="n">
        <v>43497</v>
      </c>
      <c r="B2357" s="53" t="s">
        <v>48</v>
      </c>
      <c r="C2357" s="46" t="s">
        <v>15</v>
      </c>
      <c r="D2357" s="46" t="s">
        <v>43</v>
      </c>
      <c r="E2357" s="46" t="s">
        <v>44</v>
      </c>
      <c r="F2357" s="46" t="s">
        <v>5504</v>
      </c>
      <c r="G2357" s="46" t="n">
        <f aca="false">+5930983881337</f>
        <v>5930983881337</v>
      </c>
      <c r="H2357" s="46" t="s">
        <v>5505</v>
      </c>
      <c r="I2357" s="46"/>
      <c r="J2357" s="1"/>
      <c r="K2357" s="1" t="s">
        <v>5506</v>
      </c>
      <c r="L2357" s="1"/>
      <c r="M2357" s="1"/>
      <c r="N2357" s="1"/>
      <c r="O2357" s="1"/>
      <c r="P2357" s="6"/>
      <c r="Q2357" s="1"/>
      <c r="R2357" s="1"/>
      <c r="S2357" s="1"/>
      <c r="T2357" s="1"/>
      <c r="U2357" s="1"/>
      <c r="V2357" s="1"/>
      <c r="W2357" s="1"/>
      <c r="X2357" s="1"/>
      <c r="Y2357" s="1"/>
      <c r="Z2357" s="1"/>
    </row>
    <row r="2358" customFormat="false" ht="21.75" hidden="false" customHeight="true" outlineLevel="0" collapsed="false">
      <c r="A2358" s="4" t="n">
        <v>43497</v>
      </c>
      <c r="B2358" s="53" t="s">
        <v>48</v>
      </c>
      <c r="C2358" s="46" t="s">
        <v>15</v>
      </c>
      <c r="D2358" s="46" t="s">
        <v>43</v>
      </c>
      <c r="E2358" s="46" t="s">
        <v>44</v>
      </c>
      <c r="F2358" s="46" t="s">
        <v>5507</v>
      </c>
      <c r="G2358" s="46" t="n">
        <f aca="false">+593992160947</f>
        <v>593992160947</v>
      </c>
      <c r="H2358" s="46" t="s">
        <v>5508</v>
      </c>
      <c r="I2358" s="46"/>
      <c r="J2358" s="1"/>
      <c r="K2358" s="1" t="s">
        <v>5509</v>
      </c>
      <c r="L2358" s="1"/>
      <c r="M2358" s="1"/>
      <c r="N2358" s="1"/>
      <c r="O2358" s="1"/>
      <c r="P2358" s="6"/>
      <c r="Q2358" s="1"/>
      <c r="R2358" s="1"/>
      <c r="S2358" s="1"/>
      <c r="T2358" s="1"/>
      <c r="U2358" s="1"/>
      <c r="V2358" s="1"/>
      <c r="W2358" s="1"/>
      <c r="X2358" s="1"/>
      <c r="Y2358" s="1"/>
      <c r="Z2358" s="1"/>
    </row>
    <row r="2359" customFormat="false" ht="21.75" hidden="false" customHeight="true" outlineLevel="0" collapsed="false">
      <c r="A2359" s="4" t="n">
        <v>43497</v>
      </c>
      <c r="B2359" s="53" t="s">
        <v>48</v>
      </c>
      <c r="C2359" s="46" t="s">
        <v>15</v>
      </c>
      <c r="D2359" s="46" t="s">
        <v>43</v>
      </c>
      <c r="E2359" s="46" t="s">
        <v>44</v>
      </c>
      <c r="F2359" s="46" t="s">
        <v>5510</v>
      </c>
      <c r="G2359" s="46" t="n">
        <f aca="false">+593991382950</f>
        <v>593991382950</v>
      </c>
      <c r="H2359" s="46" t="s">
        <v>5511</v>
      </c>
      <c r="I2359" s="46"/>
      <c r="J2359" s="1"/>
      <c r="K2359" s="1" t="s">
        <v>5509</v>
      </c>
      <c r="L2359" s="1"/>
      <c r="M2359" s="1"/>
      <c r="N2359" s="1"/>
      <c r="O2359" s="1"/>
      <c r="P2359" s="6"/>
      <c r="Q2359" s="1"/>
      <c r="R2359" s="1"/>
      <c r="S2359" s="1"/>
      <c r="T2359" s="1"/>
      <c r="U2359" s="1"/>
      <c r="V2359" s="1"/>
      <c r="W2359" s="1"/>
      <c r="X2359" s="1"/>
      <c r="Y2359" s="1"/>
      <c r="Z2359" s="1"/>
    </row>
    <row r="2360" customFormat="false" ht="21.75" hidden="false" customHeight="true" outlineLevel="0" collapsed="false">
      <c r="A2360" s="4" t="n">
        <v>43497</v>
      </c>
      <c r="B2360" s="53" t="s">
        <v>48</v>
      </c>
      <c r="C2360" s="46" t="s">
        <v>15</v>
      </c>
      <c r="D2360" s="46" t="s">
        <v>43</v>
      </c>
      <c r="E2360" s="46" t="s">
        <v>44</v>
      </c>
      <c r="F2360" s="46" t="s">
        <v>5512</v>
      </c>
      <c r="G2360" s="46" t="n">
        <f aca="false">+593969055285</f>
        <v>593969055285</v>
      </c>
      <c r="H2360" s="46" t="s">
        <v>5513</v>
      </c>
      <c r="I2360" s="46"/>
      <c r="J2360" s="1"/>
      <c r="K2360" s="1" t="s">
        <v>336</v>
      </c>
      <c r="L2360" s="1"/>
      <c r="M2360" s="1"/>
      <c r="N2360" s="1"/>
      <c r="O2360" s="1"/>
      <c r="P2360" s="6"/>
      <c r="Q2360" s="1"/>
      <c r="R2360" s="1"/>
      <c r="S2360" s="1"/>
      <c r="T2360" s="1"/>
      <c r="U2360" s="1"/>
      <c r="V2360" s="1"/>
      <c r="W2360" s="1"/>
      <c r="X2360" s="1"/>
      <c r="Y2360" s="1"/>
      <c r="Z2360" s="1"/>
    </row>
    <row r="2361" customFormat="false" ht="21.75" hidden="false" customHeight="true" outlineLevel="0" collapsed="false">
      <c r="A2361" s="4" t="n">
        <v>43497</v>
      </c>
      <c r="B2361" s="53" t="s">
        <v>48</v>
      </c>
      <c r="C2361" s="46" t="s">
        <v>15</v>
      </c>
      <c r="D2361" s="46" t="s">
        <v>43</v>
      </c>
      <c r="E2361" s="46" t="s">
        <v>44</v>
      </c>
      <c r="F2361" s="46" t="s">
        <v>5514</v>
      </c>
      <c r="G2361" s="46" t="n">
        <f aca="false">+593999461027</f>
        <v>593999461027</v>
      </c>
      <c r="H2361" s="46" t="s">
        <v>5515</v>
      </c>
      <c r="I2361" s="46"/>
      <c r="J2361" s="1"/>
      <c r="K2361" s="1" t="s">
        <v>5516</v>
      </c>
      <c r="L2361" s="1"/>
      <c r="M2361" s="1"/>
      <c r="N2361" s="1"/>
      <c r="O2361" s="1"/>
      <c r="P2361" s="6"/>
      <c r="Q2361" s="1"/>
      <c r="R2361" s="1"/>
      <c r="S2361" s="1"/>
      <c r="T2361" s="1"/>
      <c r="U2361" s="1"/>
      <c r="V2361" s="1"/>
      <c r="W2361" s="1"/>
      <c r="X2361" s="1"/>
      <c r="Y2361" s="1"/>
      <c r="Z2361" s="1"/>
    </row>
    <row r="2362" customFormat="false" ht="21.75" hidden="false" customHeight="true" outlineLevel="0" collapsed="false">
      <c r="A2362" s="4" t="n">
        <v>43497</v>
      </c>
      <c r="B2362" s="53" t="s">
        <v>48</v>
      </c>
      <c r="C2362" s="46" t="s">
        <v>15</v>
      </c>
      <c r="D2362" s="46" t="s">
        <v>43</v>
      </c>
      <c r="E2362" s="46" t="s">
        <v>44</v>
      </c>
      <c r="F2362" s="46" t="s">
        <v>5517</v>
      </c>
      <c r="G2362" s="46" t="n">
        <f aca="false">+593995385010</f>
        <v>593995385010</v>
      </c>
      <c r="H2362" s="46" t="s">
        <v>5518</v>
      </c>
      <c r="I2362" s="46"/>
      <c r="J2362" s="1"/>
      <c r="K2362" s="1" t="s">
        <v>5519</v>
      </c>
      <c r="L2362" s="1"/>
      <c r="M2362" s="1"/>
      <c r="N2362" s="1"/>
      <c r="O2362" s="1"/>
      <c r="P2362" s="6"/>
      <c r="Q2362" s="1"/>
      <c r="R2362" s="1"/>
      <c r="S2362" s="1"/>
      <c r="T2362" s="1"/>
      <c r="U2362" s="1"/>
      <c r="V2362" s="1"/>
      <c r="W2362" s="1"/>
      <c r="X2362" s="1"/>
      <c r="Y2362" s="1"/>
      <c r="Z2362" s="1"/>
    </row>
    <row r="2363" customFormat="false" ht="21.75" hidden="false" customHeight="true" outlineLevel="0" collapsed="false">
      <c r="A2363" s="4" t="n">
        <v>43497</v>
      </c>
      <c r="B2363" s="53" t="s">
        <v>48</v>
      </c>
      <c r="C2363" s="46" t="s">
        <v>15</v>
      </c>
      <c r="D2363" s="46" t="s">
        <v>43</v>
      </c>
      <c r="E2363" s="46" t="s">
        <v>44</v>
      </c>
      <c r="F2363" s="46" t="s">
        <v>5520</v>
      </c>
      <c r="G2363" s="46" t="n">
        <f aca="false">+593981218544</f>
        <v>593981218544</v>
      </c>
      <c r="H2363" s="46" t="s">
        <v>5521</v>
      </c>
      <c r="I2363" s="46"/>
      <c r="J2363" s="1"/>
      <c r="K2363" s="1" t="s">
        <v>21</v>
      </c>
      <c r="L2363" s="1"/>
      <c r="M2363" s="1"/>
      <c r="N2363" s="1"/>
      <c r="O2363" s="1"/>
      <c r="P2363" s="6"/>
      <c r="Q2363" s="1"/>
      <c r="R2363" s="1"/>
      <c r="S2363" s="1"/>
      <c r="T2363" s="1"/>
      <c r="U2363" s="1"/>
      <c r="V2363" s="1"/>
      <c r="W2363" s="1"/>
      <c r="X2363" s="1"/>
      <c r="Y2363" s="1"/>
      <c r="Z2363" s="1"/>
    </row>
    <row r="2364" customFormat="false" ht="21.75" hidden="false" customHeight="true" outlineLevel="0" collapsed="false">
      <c r="A2364" s="4" t="n">
        <v>43497</v>
      </c>
      <c r="B2364" s="53" t="s">
        <v>48</v>
      </c>
      <c r="C2364" s="46" t="s">
        <v>15</v>
      </c>
      <c r="D2364" s="46" t="s">
        <v>43</v>
      </c>
      <c r="E2364" s="46" t="s">
        <v>44</v>
      </c>
      <c r="F2364" s="46" t="s">
        <v>5522</v>
      </c>
      <c r="G2364" s="46" t="n">
        <f aca="false">+593989415410</f>
        <v>593989415410</v>
      </c>
      <c r="H2364" s="46" t="s">
        <v>5523</v>
      </c>
      <c r="I2364" s="46"/>
      <c r="J2364" s="1"/>
      <c r="K2364" s="1" t="s">
        <v>21</v>
      </c>
      <c r="L2364" s="1"/>
      <c r="M2364" s="1"/>
      <c r="N2364" s="1"/>
      <c r="O2364" s="1"/>
      <c r="P2364" s="6"/>
      <c r="Q2364" s="1"/>
      <c r="R2364" s="1"/>
      <c r="S2364" s="1"/>
      <c r="T2364" s="1"/>
      <c r="U2364" s="1"/>
      <c r="V2364" s="1"/>
      <c r="W2364" s="1"/>
      <c r="X2364" s="1"/>
      <c r="Y2364" s="1"/>
      <c r="Z2364" s="1"/>
    </row>
    <row r="2365" customFormat="false" ht="21.75" hidden="false" customHeight="true" outlineLevel="0" collapsed="false">
      <c r="A2365" s="4" t="n">
        <v>43497</v>
      </c>
      <c r="B2365" s="53" t="s">
        <v>48</v>
      </c>
      <c r="C2365" s="46" t="s">
        <v>15</v>
      </c>
      <c r="D2365" s="46" t="s">
        <v>43</v>
      </c>
      <c r="E2365" s="46" t="s">
        <v>44</v>
      </c>
      <c r="F2365" s="46" t="s">
        <v>5345</v>
      </c>
      <c r="G2365" s="46" t="n">
        <f aca="false">+593991920509</f>
        <v>593991920509</v>
      </c>
      <c r="H2365" s="46" t="s">
        <v>5346</v>
      </c>
      <c r="I2365" s="46"/>
      <c r="J2365" s="1"/>
      <c r="K2365" s="1" t="s">
        <v>5079</v>
      </c>
      <c r="L2365" s="1"/>
      <c r="M2365" s="1"/>
      <c r="N2365" s="1"/>
      <c r="O2365" s="1"/>
      <c r="P2365" s="6"/>
      <c r="Q2365" s="1"/>
      <c r="R2365" s="1"/>
      <c r="S2365" s="1"/>
      <c r="T2365" s="1"/>
      <c r="U2365" s="1"/>
      <c r="V2365" s="1"/>
      <c r="W2365" s="1"/>
      <c r="X2365" s="1"/>
      <c r="Y2365" s="1"/>
      <c r="Z2365" s="1"/>
    </row>
    <row r="2366" customFormat="false" ht="21.75" hidden="false" customHeight="true" outlineLevel="0" collapsed="false">
      <c r="A2366" s="4" t="n">
        <v>43497</v>
      </c>
      <c r="B2366" s="53" t="s">
        <v>48</v>
      </c>
      <c r="C2366" s="46" t="s">
        <v>15</v>
      </c>
      <c r="D2366" s="46" t="s">
        <v>43</v>
      </c>
      <c r="E2366" s="46" t="s">
        <v>44</v>
      </c>
      <c r="F2366" s="46" t="s">
        <v>5524</v>
      </c>
      <c r="G2366" s="46" t="n">
        <f aca="false">+593988633111</f>
        <v>593988633111</v>
      </c>
      <c r="H2366" s="46" t="s">
        <v>5525</v>
      </c>
      <c r="I2366" s="46"/>
      <c r="J2366" s="1"/>
      <c r="K2366" s="1" t="s">
        <v>21</v>
      </c>
      <c r="L2366" s="1"/>
      <c r="M2366" s="1"/>
      <c r="N2366" s="1"/>
      <c r="O2366" s="1"/>
      <c r="P2366" s="6"/>
      <c r="Q2366" s="1"/>
      <c r="R2366" s="1"/>
      <c r="S2366" s="1"/>
      <c r="T2366" s="1"/>
      <c r="U2366" s="1"/>
      <c r="V2366" s="1"/>
      <c r="W2366" s="1"/>
      <c r="X2366" s="1"/>
      <c r="Y2366" s="1"/>
      <c r="Z2366" s="1"/>
    </row>
    <row r="2367" customFormat="false" ht="21.75" hidden="false" customHeight="true" outlineLevel="0" collapsed="false">
      <c r="A2367" s="4" t="n">
        <v>43497</v>
      </c>
      <c r="B2367" s="53" t="s">
        <v>127</v>
      </c>
      <c r="C2367" s="46" t="s">
        <v>15</v>
      </c>
      <c r="D2367" s="46" t="s">
        <v>43</v>
      </c>
      <c r="E2367" s="46" t="s">
        <v>44</v>
      </c>
      <c r="F2367" s="46" t="s">
        <v>5526</v>
      </c>
      <c r="G2367" s="46" t="n">
        <f aca="false">+593998857405</f>
        <v>593998857405</v>
      </c>
      <c r="H2367" s="46" t="s">
        <v>5527</v>
      </c>
      <c r="I2367" s="46"/>
      <c r="J2367" s="1"/>
      <c r="K2367" s="1" t="s">
        <v>21</v>
      </c>
      <c r="L2367" s="1"/>
      <c r="M2367" s="1"/>
      <c r="N2367" s="1"/>
      <c r="O2367" s="1"/>
      <c r="P2367" s="6"/>
      <c r="Q2367" s="1"/>
      <c r="R2367" s="1"/>
      <c r="S2367" s="1"/>
      <c r="T2367" s="1"/>
      <c r="U2367" s="1"/>
      <c r="V2367" s="1"/>
      <c r="W2367" s="1"/>
      <c r="X2367" s="1"/>
      <c r="Y2367" s="1"/>
      <c r="Z2367" s="1"/>
    </row>
    <row r="2368" customFormat="false" ht="21.75" hidden="false" customHeight="true" outlineLevel="0" collapsed="false">
      <c r="A2368" s="4" t="n">
        <v>43497</v>
      </c>
      <c r="B2368" s="53" t="s">
        <v>42</v>
      </c>
      <c r="C2368" s="46" t="s">
        <v>15</v>
      </c>
      <c r="D2368" s="46" t="s">
        <v>43</v>
      </c>
      <c r="E2368" s="46" t="s">
        <v>44</v>
      </c>
      <c r="F2368" s="46" t="s">
        <v>5528</v>
      </c>
      <c r="G2368" s="46" t="n">
        <f aca="false">+593984594888</f>
        <v>593984594888</v>
      </c>
      <c r="H2368" s="46" t="s">
        <v>5529</v>
      </c>
      <c r="I2368" s="46"/>
      <c r="J2368" s="1"/>
      <c r="K2368" s="1" t="s">
        <v>21</v>
      </c>
      <c r="L2368" s="1"/>
      <c r="M2368" s="1"/>
      <c r="N2368" s="1"/>
      <c r="O2368" s="1"/>
      <c r="P2368" s="6"/>
      <c r="Q2368" s="1"/>
      <c r="R2368" s="1"/>
      <c r="S2368" s="1"/>
      <c r="T2368" s="1"/>
      <c r="U2368" s="1"/>
      <c r="V2368" s="1"/>
      <c r="W2368" s="1"/>
      <c r="X2368" s="1"/>
      <c r="Y2368" s="1"/>
      <c r="Z2368" s="1"/>
    </row>
    <row r="2369" customFormat="false" ht="21.75" hidden="false" customHeight="true" outlineLevel="0" collapsed="false">
      <c r="A2369" s="4" t="n">
        <v>43497</v>
      </c>
      <c r="B2369" s="53" t="s">
        <v>42</v>
      </c>
      <c r="C2369" s="46" t="s">
        <v>15</v>
      </c>
      <c r="D2369" s="46" t="s">
        <v>43</v>
      </c>
      <c r="E2369" s="46" t="s">
        <v>44</v>
      </c>
      <c r="F2369" s="46" t="s">
        <v>5530</v>
      </c>
      <c r="G2369" s="46" t="n">
        <f aca="false">+5930982202841</f>
        <v>5930982202841</v>
      </c>
      <c r="H2369" s="46" t="s">
        <v>5531</v>
      </c>
      <c r="I2369" s="46"/>
      <c r="J2369" s="1"/>
      <c r="K2369" s="1" t="s">
        <v>21</v>
      </c>
      <c r="L2369" s="1"/>
      <c r="M2369" s="1"/>
      <c r="N2369" s="1"/>
      <c r="O2369" s="1"/>
      <c r="P2369" s="6"/>
      <c r="Q2369" s="1"/>
      <c r="R2369" s="1"/>
      <c r="S2369" s="1"/>
      <c r="T2369" s="1"/>
      <c r="U2369" s="1"/>
      <c r="V2369" s="1"/>
      <c r="W2369" s="1"/>
      <c r="X2369" s="1"/>
      <c r="Y2369" s="1"/>
      <c r="Z2369" s="1"/>
    </row>
    <row r="2370" customFormat="false" ht="21.75" hidden="false" customHeight="true" outlineLevel="0" collapsed="false">
      <c r="A2370" s="4" t="n">
        <v>43497</v>
      </c>
      <c r="B2370" s="53" t="s">
        <v>415</v>
      </c>
      <c r="C2370" s="46" t="s">
        <v>15</v>
      </c>
      <c r="D2370" s="46" t="s">
        <v>43</v>
      </c>
      <c r="E2370" s="46" t="s">
        <v>44</v>
      </c>
      <c r="F2370" s="46" t="s">
        <v>5532</v>
      </c>
      <c r="G2370" s="46" t="n">
        <f aca="false">+593983301187</f>
        <v>593983301187</v>
      </c>
      <c r="H2370" s="46" t="s">
        <v>5533</v>
      </c>
      <c r="I2370" s="46"/>
      <c r="J2370" s="1"/>
      <c r="K2370" s="1" t="s">
        <v>21</v>
      </c>
      <c r="L2370" s="1"/>
      <c r="M2370" s="1"/>
      <c r="N2370" s="1"/>
      <c r="O2370" s="1"/>
      <c r="P2370" s="6"/>
      <c r="Q2370" s="1"/>
      <c r="R2370" s="1"/>
      <c r="S2370" s="1"/>
      <c r="T2370" s="1"/>
      <c r="U2370" s="1"/>
      <c r="V2370" s="1"/>
      <c r="W2370" s="1"/>
      <c r="X2370" s="1"/>
      <c r="Y2370" s="1"/>
      <c r="Z2370" s="1"/>
    </row>
    <row r="2371" customFormat="false" ht="21.75" hidden="false" customHeight="true" outlineLevel="0" collapsed="false">
      <c r="A2371" s="4" t="n">
        <v>43497</v>
      </c>
      <c r="B2371" s="53" t="s">
        <v>415</v>
      </c>
      <c r="C2371" s="46" t="s">
        <v>15</v>
      </c>
      <c r="D2371" s="46" t="s">
        <v>43</v>
      </c>
      <c r="E2371" s="46" t="s">
        <v>44</v>
      </c>
      <c r="F2371" s="46" t="s">
        <v>5534</v>
      </c>
      <c r="G2371" s="46" t="n">
        <f aca="false">+593983317533</f>
        <v>593983317533</v>
      </c>
      <c r="H2371" s="46" t="s">
        <v>5535</v>
      </c>
      <c r="I2371" s="46"/>
      <c r="J2371" s="1"/>
      <c r="K2371" s="1" t="s">
        <v>21</v>
      </c>
      <c r="L2371" s="1"/>
      <c r="M2371" s="1"/>
      <c r="N2371" s="1"/>
      <c r="O2371" s="1"/>
      <c r="P2371" s="6"/>
      <c r="Q2371" s="1"/>
      <c r="R2371" s="1"/>
      <c r="S2371" s="1"/>
      <c r="T2371" s="1"/>
      <c r="U2371" s="1"/>
      <c r="V2371" s="1"/>
      <c r="W2371" s="1"/>
      <c r="X2371" s="1"/>
      <c r="Y2371" s="1"/>
      <c r="Z2371" s="1"/>
    </row>
    <row r="2372" customFormat="false" ht="21.75" hidden="false" customHeight="true" outlineLevel="0" collapsed="false">
      <c r="A2372" s="4" t="n">
        <v>43497</v>
      </c>
      <c r="B2372" s="53" t="s">
        <v>178</v>
      </c>
      <c r="C2372" s="46" t="s">
        <v>15</v>
      </c>
      <c r="D2372" s="46" t="s">
        <v>43</v>
      </c>
      <c r="E2372" s="46" t="s">
        <v>44</v>
      </c>
      <c r="F2372" s="46" t="s">
        <v>5536</v>
      </c>
      <c r="G2372" s="46" t="n">
        <f aca="false">+5930999203330</f>
        <v>5930999203330</v>
      </c>
      <c r="H2372" s="46" t="s">
        <v>5537</v>
      </c>
      <c r="I2372" s="46"/>
      <c r="J2372" s="1"/>
      <c r="K2372" s="1" t="s">
        <v>21</v>
      </c>
      <c r="L2372" s="1"/>
      <c r="M2372" s="1"/>
      <c r="N2372" s="1"/>
      <c r="O2372" s="1"/>
      <c r="P2372" s="6"/>
      <c r="Q2372" s="1"/>
      <c r="R2372" s="1"/>
      <c r="S2372" s="1"/>
      <c r="T2372" s="1"/>
      <c r="U2372" s="1"/>
      <c r="V2372" s="1"/>
      <c r="W2372" s="1"/>
      <c r="X2372" s="1"/>
      <c r="Y2372" s="1"/>
      <c r="Z2372" s="1"/>
    </row>
    <row r="2373" customFormat="false" ht="21.75" hidden="false" customHeight="true" outlineLevel="0" collapsed="false">
      <c r="A2373" s="4" t="n">
        <v>43497</v>
      </c>
      <c r="B2373" s="53" t="s">
        <v>81</v>
      </c>
      <c r="C2373" s="46" t="s">
        <v>15</v>
      </c>
      <c r="D2373" s="46" t="s">
        <v>43</v>
      </c>
      <c r="E2373" s="46" t="s">
        <v>44</v>
      </c>
      <c r="F2373" s="46" t="s">
        <v>5538</v>
      </c>
      <c r="G2373" s="46" t="n">
        <f aca="false">+593992624347</f>
        <v>593992624347</v>
      </c>
      <c r="H2373" s="46" t="s">
        <v>5539</v>
      </c>
      <c r="I2373" s="46"/>
      <c r="J2373" s="1"/>
      <c r="K2373" s="1" t="s">
        <v>5540</v>
      </c>
      <c r="L2373" s="1"/>
      <c r="M2373" s="1"/>
      <c r="N2373" s="1"/>
      <c r="O2373" s="1"/>
      <c r="P2373" s="6"/>
      <c r="Q2373" s="1"/>
      <c r="R2373" s="1"/>
      <c r="S2373" s="1"/>
      <c r="T2373" s="1"/>
      <c r="U2373" s="1"/>
      <c r="V2373" s="1"/>
      <c r="W2373" s="1"/>
      <c r="X2373" s="1"/>
      <c r="Y2373" s="1"/>
      <c r="Z2373" s="1"/>
    </row>
    <row r="2374" customFormat="false" ht="21.75" hidden="false" customHeight="true" outlineLevel="0" collapsed="false">
      <c r="A2374" s="4" t="n">
        <v>43497</v>
      </c>
      <c r="B2374" s="53" t="s">
        <v>81</v>
      </c>
      <c r="C2374" s="46" t="s">
        <v>15</v>
      </c>
      <c r="D2374" s="46" t="s">
        <v>43</v>
      </c>
      <c r="E2374" s="46" t="s">
        <v>44</v>
      </c>
      <c r="F2374" s="46" t="s">
        <v>5541</v>
      </c>
      <c r="G2374" s="46" t="n">
        <f aca="false">+593985518860</f>
        <v>593985518860</v>
      </c>
      <c r="H2374" s="46" t="s">
        <v>5542</v>
      </c>
      <c r="I2374" s="46"/>
      <c r="J2374" s="1"/>
      <c r="K2374" s="1" t="s">
        <v>21</v>
      </c>
      <c r="L2374" s="1"/>
      <c r="M2374" s="1"/>
      <c r="N2374" s="1"/>
      <c r="O2374" s="1"/>
      <c r="P2374" s="6"/>
      <c r="Q2374" s="1"/>
      <c r="R2374" s="1"/>
      <c r="S2374" s="1"/>
      <c r="T2374" s="1"/>
      <c r="U2374" s="1"/>
      <c r="V2374" s="1"/>
      <c r="W2374" s="1"/>
      <c r="X2374" s="1"/>
      <c r="Y2374" s="1"/>
      <c r="Z2374" s="1"/>
    </row>
    <row r="2375" customFormat="false" ht="21.75" hidden="false" customHeight="true" outlineLevel="0" collapsed="false">
      <c r="A2375" s="4" t="n">
        <v>43497</v>
      </c>
      <c r="B2375" s="53" t="s">
        <v>81</v>
      </c>
      <c r="C2375" s="46" t="s">
        <v>26</v>
      </c>
      <c r="D2375" s="46" t="s">
        <v>43</v>
      </c>
      <c r="E2375" s="46" t="s">
        <v>44</v>
      </c>
      <c r="F2375" s="46" t="s">
        <v>5543</v>
      </c>
      <c r="G2375" s="46" t="n">
        <f aca="false">+5930969878787</f>
        <v>5930969878787</v>
      </c>
      <c r="H2375" s="46" t="s">
        <v>5544</v>
      </c>
      <c r="I2375" s="46"/>
      <c r="J2375" s="1"/>
      <c r="K2375" s="1" t="s">
        <v>5545</v>
      </c>
      <c r="L2375" s="1"/>
      <c r="M2375" s="1"/>
      <c r="N2375" s="1"/>
      <c r="O2375" s="1"/>
      <c r="P2375" s="6"/>
      <c r="Q2375" s="1"/>
      <c r="R2375" s="1"/>
      <c r="S2375" s="1"/>
      <c r="T2375" s="1"/>
      <c r="U2375" s="1"/>
      <c r="V2375" s="1"/>
      <c r="W2375" s="1"/>
      <c r="X2375" s="1"/>
      <c r="Y2375" s="1"/>
      <c r="Z2375" s="1"/>
    </row>
    <row r="2376" customFormat="false" ht="21.75" hidden="false" customHeight="true" outlineLevel="0" collapsed="false">
      <c r="A2376" s="4" t="n">
        <v>43497</v>
      </c>
      <c r="B2376" s="53" t="s">
        <v>166</v>
      </c>
      <c r="C2376" s="46" t="s">
        <v>15</v>
      </c>
      <c r="D2376" s="46" t="s">
        <v>16</v>
      </c>
      <c r="E2376" s="46" t="s">
        <v>17</v>
      </c>
      <c r="F2376" s="46" t="s">
        <v>5546</v>
      </c>
      <c r="G2376" s="46" t="n">
        <f aca="false">+593979475472</f>
        <v>593979475472</v>
      </c>
      <c r="H2376" s="46" t="s">
        <v>5547</v>
      </c>
      <c r="I2376" s="46"/>
      <c r="J2376" s="1"/>
      <c r="K2376" s="1" t="s">
        <v>1065</v>
      </c>
      <c r="L2376" s="1"/>
      <c r="M2376" s="1"/>
      <c r="N2376" s="1"/>
      <c r="O2376" s="1"/>
      <c r="P2376" s="6"/>
      <c r="Q2376" s="1"/>
      <c r="R2376" s="1"/>
      <c r="S2376" s="1"/>
      <c r="T2376" s="1"/>
      <c r="U2376" s="1"/>
      <c r="V2376" s="1"/>
      <c r="W2376" s="1"/>
      <c r="X2376" s="1"/>
      <c r="Y2376" s="1"/>
      <c r="Z2376" s="1"/>
    </row>
    <row r="2377" customFormat="false" ht="21.75" hidden="false" customHeight="true" outlineLevel="0" collapsed="false">
      <c r="A2377" s="4" t="n">
        <v>43497</v>
      </c>
      <c r="B2377" s="53" t="s">
        <v>911</v>
      </c>
      <c r="C2377" s="46" t="s">
        <v>15</v>
      </c>
      <c r="D2377" s="46" t="s">
        <v>16</v>
      </c>
      <c r="E2377" s="46" t="s">
        <v>17</v>
      </c>
      <c r="F2377" s="46" t="s">
        <v>5548</v>
      </c>
      <c r="G2377" s="46" t="n">
        <f aca="false">+593987994887</f>
        <v>593987994887</v>
      </c>
      <c r="H2377" s="46" t="s">
        <v>5549</v>
      </c>
      <c r="I2377" s="46"/>
      <c r="J2377" s="1"/>
      <c r="K2377" s="1" t="s">
        <v>1030</v>
      </c>
      <c r="L2377" s="1"/>
      <c r="M2377" s="1"/>
      <c r="N2377" s="1"/>
      <c r="O2377" s="1"/>
      <c r="P2377" s="6"/>
      <c r="Q2377" s="1"/>
      <c r="R2377" s="1"/>
      <c r="S2377" s="1"/>
      <c r="T2377" s="1"/>
      <c r="U2377" s="1"/>
      <c r="V2377" s="1"/>
      <c r="W2377" s="1"/>
      <c r="X2377" s="1"/>
      <c r="Y2377" s="1"/>
      <c r="Z2377" s="1"/>
    </row>
    <row r="2378" customFormat="false" ht="21.75" hidden="false" customHeight="true" outlineLevel="0" collapsed="false">
      <c r="A2378" s="4" t="n">
        <v>43497</v>
      </c>
      <c r="B2378" s="53" t="s">
        <v>14</v>
      </c>
      <c r="C2378" s="46" t="s">
        <v>15</v>
      </c>
      <c r="D2378" s="46" t="s">
        <v>16</v>
      </c>
      <c r="E2378" s="46" t="s">
        <v>17</v>
      </c>
      <c r="F2378" s="46" t="s">
        <v>5550</v>
      </c>
      <c r="G2378" s="46" t="n">
        <f aca="false">+593985101524</f>
        <v>593985101524</v>
      </c>
      <c r="H2378" s="46" t="s">
        <v>5551</v>
      </c>
      <c r="I2378" s="46"/>
      <c r="J2378" s="1"/>
      <c r="K2378" s="1" t="s">
        <v>1065</v>
      </c>
      <c r="L2378" s="1"/>
      <c r="M2378" s="1"/>
      <c r="N2378" s="1"/>
      <c r="O2378" s="1"/>
      <c r="P2378" s="6"/>
      <c r="Q2378" s="1"/>
      <c r="R2378" s="1"/>
      <c r="S2378" s="1"/>
      <c r="T2378" s="1"/>
      <c r="U2378" s="1"/>
      <c r="V2378" s="1"/>
      <c r="W2378" s="1"/>
      <c r="X2378" s="1"/>
      <c r="Y2378" s="1"/>
      <c r="Z2378" s="1"/>
    </row>
    <row r="2379" customFormat="false" ht="21.75" hidden="false" customHeight="true" outlineLevel="0" collapsed="false">
      <c r="A2379" s="4" t="n">
        <v>43497</v>
      </c>
      <c r="B2379" s="53" t="s">
        <v>14</v>
      </c>
      <c r="C2379" s="46" t="s">
        <v>15</v>
      </c>
      <c r="D2379" s="46" t="s">
        <v>16</v>
      </c>
      <c r="E2379" s="46" t="s">
        <v>17</v>
      </c>
      <c r="F2379" s="46" t="s">
        <v>5552</v>
      </c>
      <c r="G2379" s="46" t="n">
        <f aca="false">+593992925036</f>
        <v>593992925036</v>
      </c>
      <c r="H2379" s="46" t="s">
        <v>5553</v>
      </c>
      <c r="I2379" s="46"/>
      <c r="J2379" s="1"/>
      <c r="K2379" s="1" t="s">
        <v>21</v>
      </c>
      <c r="L2379" s="1"/>
      <c r="M2379" s="1"/>
      <c r="N2379" s="1"/>
      <c r="O2379" s="1"/>
      <c r="P2379" s="6"/>
      <c r="Q2379" s="1"/>
      <c r="R2379" s="1"/>
      <c r="S2379" s="1"/>
      <c r="T2379" s="1"/>
      <c r="U2379" s="1"/>
      <c r="V2379" s="1"/>
      <c r="W2379" s="1"/>
      <c r="X2379" s="1"/>
      <c r="Y2379" s="1"/>
      <c r="Z2379" s="1"/>
    </row>
    <row r="2380" customFormat="false" ht="21.75" hidden="false" customHeight="true" outlineLevel="0" collapsed="false">
      <c r="A2380" s="4" t="n">
        <v>43497</v>
      </c>
      <c r="B2380" s="53" t="s">
        <v>161</v>
      </c>
      <c r="C2380" s="46" t="s">
        <v>15</v>
      </c>
      <c r="D2380" s="46" t="s">
        <v>16</v>
      </c>
      <c r="E2380" s="46" t="s">
        <v>17</v>
      </c>
      <c r="F2380" s="46" t="s">
        <v>5554</v>
      </c>
      <c r="G2380" s="46" t="n">
        <f aca="false">+593985776372</f>
        <v>593985776372</v>
      </c>
      <c r="H2380" s="46" t="s">
        <v>5555</v>
      </c>
      <c r="I2380" s="46"/>
      <c r="J2380" s="1"/>
      <c r="K2380" s="1" t="s">
        <v>5556</v>
      </c>
      <c r="L2380" s="1"/>
      <c r="M2380" s="1"/>
      <c r="N2380" s="1"/>
      <c r="O2380" s="1"/>
      <c r="P2380" s="6" t="s">
        <v>3289</v>
      </c>
      <c r="Q2380" s="1"/>
      <c r="R2380" s="1"/>
      <c r="S2380" s="1"/>
      <c r="T2380" s="1"/>
      <c r="U2380" s="1"/>
      <c r="V2380" s="1"/>
      <c r="W2380" s="1"/>
      <c r="X2380" s="1"/>
      <c r="Y2380" s="1"/>
      <c r="Z2380" s="1"/>
    </row>
    <row r="2381" customFormat="false" ht="21.75" hidden="false" customHeight="true" outlineLevel="0" collapsed="false">
      <c r="A2381" s="4" t="n">
        <v>43497</v>
      </c>
      <c r="B2381" s="53" t="s">
        <v>286</v>
      </c>
      <c r="C2381" s="46" t="s">
        <v>15</v>
      </c>
      <c r="D2381" s="46" t="s">
        <v>16</v>
      </c>
      <c r="E2381" s="46" t="s">
        <v>17</v>
      </c>
      <c r="F2381" s="46" t="s">
        <v>5557</v>
      </c>
      <c r="G2381" s="46" t="n">
        <f aca="false">+593982456579</f>
        <v>593982456579</v>
      </c>
      <c r="H2381" s="46" t="s">
        <v>5558</v>
      </c>
      <c r="I2381" s="46"/>
      <c r="J2381" s="1"/>
      <c r="K2381" s="1" t="s">
        <v>260</v>
      </c>
      <c r="L2381" s="1"/>
      <c r="M2381" s="1"/>
      <c r="N2381" s="1"/>
      <c r="O2381" s="1"/>
      <c r="P2381" s="6"/>
      <c r="Q2381" s="1"/>
      <c r="R2381" s="1"/>
      <c r="S2381" s="1"/>
      <c r="T2381" s="1"/>
      <c r="U2381" s="1"/>
      <c r="V2381" s="1"/>
      <c r="W2381" s="1"/>
      <c r="X2381" s="1"/>
      <c r="Y2381" s="1"/>
      <c r="Z2381" s="1"/>
    </row>
    <row r="2382" customFormat="false" ht="21.75" hidden="false" customHeight="true" outlineLevel="0" collapsed="false">
      <c r="A2382" s="4" t="n">
        <v>43497</v>
      </c>
      <c r="B2382" s="52" t="s">
        <v>1831</v>
      </c>
      <c r="C2382" s="55" t="s">
        <v>15</v>
      </c>
      <c r="D2382" s="55" t="s">
        <v>43</v>
      </c>
      <c r="E2382" s="55" t="s">
        <v>109</v>
      </c>
      <c r="F2382" s="52" t="s">
        <v>5559</v>
      </c>
      <c r="G2382" s="51" t="n">
        <v>960999039</v>
      </c>
      <c r="H2382" s="56" t="s">
        <v>5560</v>
      </c>
      <c r="I2382" s="56"/>
      <c r="J2382" s="1"/>
      <c r="K2382" s="1" t="s">
        <v>21</v>
      </c>
      <c r="L2382" s="1"/>
      <c r="M2382" s="1"/>
      <c r="N2382" s="1"/>
      <c r="O2382" s="1"/>
      <c r="P2382" s="6"/>
      <c r="Q2382" s="1"/>
      <c r="R2382" s="1"/>
      <c r="S2382" s="1"/>
      <c r="T2382" s="1"/>
      <c r="U2382" s="1"/>
      <c r="V2382" s="1"/>
      <c r="W2382" s="1"/>
      <c r="X2382" s="1"/>
      <c r="Y2382" s="1"/>
      <c r="Z2382" s="1"/>
    </row>
    <row r="2383" customFormat="false" ht="21.75" hidden="false" customHeight="true" outlineLevel="0" collapsed="false">
      <c r="A2383" s="4" t="n">
        <v>43497</v>
      </c>
      <c r="B2383" s="61" t="s">
        <v>14</v>
      </c>
      <c r="C2383" s="55" t="s">
        <v>15</v>
      </c>
      <c r="D2383" s="55" t="s">
        <v>16</v>
      </c>
      <c r="E2383" s="55" t="s">
        <v>17</v>
      </c>
      <c r="F2383" s="52" t="s">
        <v>5561</v>
      </c>
      <c r="G2383" s="51" t="n">
        <v>960875676</v>
      </c>
      <c r="H2383" s="52" t="s">
        <v>5562</v>
      </c>
      <c r="I2383" s="52"/>
      <c r="J2383" s="1"/>
      <c r="K2383" s="1" t="s">
        <v>5563</v>
      </c>
      <c r="L2383" s="1"/>
      <c r="M2383" s="1"/>
      <c r="N2383" s="1"/>
      <c r="O2383" s="1"/>
      <c r="P2383" s="6"/>
      <c r="Q2383" s="1"/>
      <c r="R2383" s="1"/>
      <c r="S2383" s="1"/>
      <c r="T2383" s="1"/>
      <c r="U2383" s="1"/>
      <c r="V2383" s="1"/>
      <c r="W2383" s="1"/>
      <c r="X2383" s="1"/>
      <c r="Y2383" s="1"/>
      <c r="Z2383" s="1"/>
    </row>
    <row r="2384" customFormat="false" ht="21.75" hidden="false" customHeight="true" outlineLevel="0" collapsed="false">
      <c r="A2384" s="4" t="n">
        <v>43497</v>
      </c>
      <c r="B2384" s="52" t="s">
        <v>48</v>
      </c>
      <c r="C2384" s="55" t="s">
        <v>15</v>
      </c>
      <c r="D2384" s="55" t="s">
        <v>43</v>
      </c>
      <c r="E2384" s="55" t="s">
        <v>109</v>
      </c>
      <c r="F2384" s="50" t="s">
        <v>5564</v>
      </c>
      <c r="G2384" s="51" t="n">
        <v>960595712</v>
      </c>
      <c r="H2384" s="52" t="s">
        <v>5565</v>
      </c>
      <c r="I2384" s="52"/>
      <c r="J2384" s="1"/>
      <c r="K2384" s="1" t="s">
        <v>1156</v>
      </c>
      <c r="L2384" s="1"/>
      <c r="M2384" s="1"/>
      <c r="N2384" s="1"/>
      <c r="O2384" s="1"/>
      <c r="P2384" s="6"/>
      <c r="Q2384" s="1"/>
      <c r="R2384" s="1"/>
      <c r="S2384" s="1"/>
      <c r="T2384" s="1"/>
      <c r="U2384" s="1"/>
      <c r="V2384" s="1"/>
      <c r="W2384" s="1"/>
      <c r="X2384" s="1"/>
      <c r="Y2384" s="1"/>
      <c r="Z2384" s="1"/>
    </row>
    <row r="2385" customFormat="false" ht="21.75" hidden="false" customHeight="true" outlineLevel="0" collapsed="false">
      <c r="A2385" s="4" t="n">
        <v>43497</v>
      </c>
      <c r="B2385" s="53" t="s">
        <v>415</v>
      </c>
      <c r="C2385" s="55" t="s">
        <v>15</v>
      </c>
      <c r="D2385" s="55" t="s">
        <v>43</v>
      </c>
      <c r="E2385" s="55" t="s">
        <v>883</v>
      </c>
      <c r="F2385" s="50" t="s">
        <v>5566</v>
      </c>
      <c r="G2385" s="51" t="n">
        <v>939614092</v>
      </c>
      <c r="H2385" s="52" t="s">
        <v>5567</v>
      </c>
      <c r="I2385" s="52"/>
      <c r="J2385" s="1"/>
      <c r="K2385" s="1" t="s">
        <v>5568</v>
      </c>
      <c r="L2385" s="1"/>
      <c r="M2385" s="1"/>
      <c r="N2385" s="1"/>
      <c r="O2385" s="1"/>
      <c r="P2385" s="6"/>
      <c r="Q2385" s="1"/>
      <c r="R2385" s="1"/>
      <c r="S2385" s="1"/>
      <c r="T2385" s="1"/>
      <c r="U2385" s="1"/>
      <c r="V2385" s="1"/>
      <c r="W2385" s="1"/>
      <c r="X2385" s="1"/>
      <c r="Y2385" s="1"/>
      <c r="Z2385" s="1"/>
    </row>
    <row r="2386" customFormat="false" ht="21.75" hidden="false" customHeight="true" outlineLevel="0" collapsed="false">
      <c r="A2386" s="4" t="n">
        <v>43497</v>
      </c>
      <c r="B2386" s="52" t="s">
        <v>48</v>
      </c>
      <c r="C2386" s="55" t="s">
        <v>15</v>
      </c>
      <c r="D2386" s="55" t="s">
        <v>43</v>
      </c>
      <c r="E2386" s="55" t="s">
        <v>109</v>
      </c>
      <c r="F2386" s="50" t="s">
        <v>5569</v>
      </c>
      <c r="G2386" s="51" t="n">
        <v>991198894</v>
      </c>
      <c r="H2386" s="53"/>
      <c r="I2386" s="53"/>
      <c r="J2386" s="1"/>
      <c r="K2386" s="1" t="s">
        <v>1149</v>
      </c>
      <c r="L2386" s="1"/>
      <c r="M2386" s="1"/>
      <c r="N2386" s="1"/>
      <c r="O2386" s="1"/>
      <c r="P2386" s="6"/>
      <c r="Q2386" s="1"/>
      <c r="R2386" s="1"/>
      <c r="S2386" s="1"/>
      <c r="T2386" s="1"/>
      <c r="U2386" s="1"/>
      <c r="V2386" s="1"/>
      <c r="W2386" s="1"/>
      <c r="X2386" s="1"/>
      <c r="Y2386" s="1"/>
      <c r="Z2386" s="1"/>
    </row>
    <row r="2387" customFormat="false" ht="21.75" hidden="false" customHeight="true" outlineLevel="0" collapsed="false">
      <c r="A2387" s="4" t="n">
        <v>43497</v>
      </c>
      <c r="B2387" s="53" t="s">
        <v>48</v>
      </c>
      <c r="C2387" s="55" t="s">
        <v>15</v>
      </c>
      <c r="D2387" s="55" t="s">
        <v>43</v>
      </c>
      <c r="E2387" s="55" t="s">
        <v>109</v>
      </c>
      <c r="F2387" s="50" t="s">
        <v>5570</v>
      </c>
      <c r="G2387" s="51" t="n">
        <v>989776174</v>
      </c>
      <c r="H2387" s="52" t="s">
        <v>5571</v>
      </c>
      <c r="I2387" s="52"/>
      <c r="J2387" s="1"/>
      <c r="K2387" s="1" t="s">
        <v>1149</v>
      </c>
      <c r="L2387" s="1"/>
      <c r="M2387" s="1"/>
      <c r="N2387" s="1"/>
      <c r="O2387" s="1"/>
      <c r="P2387" s="6"/>
      <c r="Q2387" s="1"/>
      <c r="R2387" s="1"/>
      <c r="S2387" s="1"/>
      <c r="T2387" s="1"/>
      <c r="U2387" s="1"/>
      <c r="V2387" s="1"/>
      <c r="W2387" s="1"/>
      <c r="X2387" s="1"/>
      <c r="Y2387" s="1"/>
      <c r="Z2387" s="1"/>
    </row>
    <row r="2388" customFormat="false" ht="21.75" hidden="false" customHeight="true" outlineLevel="0" collapsed="false">
      <c r="A2388" s="4" t="n">
        <v>43497</v>
      </c>
      <c r="B2388" s="53" t="s">
        <v>14</v>
      </c>
      <c r="C2388" s="55" t="s">
        <v>15</v>
      </c>
      <c r="D2388" s="55" t="s">
        <v>16</v>
      </c>
      <c r="E2388" s="55" t="s">
        <v>17</v>
      </c>
      <c r="F2388" s="70" t="s">
        <v>5572</v>
      </c>
      <c r="G2388" s="70"/>
      <c r="H2388" s="52" t="s">
        <v>5573</v>
      </c>
      <c r="I2388" s="52"/>
      <c r="J2388" s="1"/>
      <c r="K2388" s="1" t="s">
        <v>5574</v>
      </c>
      <c r="L2388" s="1"/>
      <c r="M2388" s="1"/>
      <c r="N2388" s="1"/>
      <c r="O2388" s="1"/>
      <c r="P2388" s="6"/>
      <c r="Q2388" s="1"/>
      <c r="R2388" s="1"/>
      <c r="S2388" s="1"/>
      <c r="T2388" s="1"/>
      <c r="U2388" s="1"/>
      <c r="V2388" s="1"/>
      <c r="W2388" s="1"/>
      <c r="X2388" s="1"/>
      <c r="Y2388" s="1"/>
      <c r="Z2388" s="1"/>
    </row>
    <row r="2389" customFormat="false" ht="21.75" hidden="false" customHeight="true" outlineLevel="0" collapsed="false">
      <c r="A2389" s="4" t="n">
        <v>43497</v>
      </c>
      <c r="B2389" s="53" t="s">
        <v>48</v>
      </c>
      <c r="C2389" s="55" t="s">
        <v>15</v>
      </c>
      <c r="D2389" s="55" t="s">
        <v>43</v>
      </c>
      <c r="E2389" s="55" t="s">
        <v>883</v>
      </c>
      <c r="F2389" s="50" t="s">
        <v>5575</v>
      </c>
      <c r="G2389" s="51" t="n">
        <v>991860412</v>
      </c>
      <c r="H2389" s="52" t="s">
        <v>5576</v>
      </c>
      <c r="I2389" s="52"/>
      <c r="J2389" s="1"/>
      <c r="K2389" s="1" t="s">
        <v>1149</v>
      </c>
      <c r="L2389" s="1"/>
      <c r="M2389" s="1"/>
      <c r="N2389" s="1"/>
      <c r="O2389" s="1"/>
      <c r="P2389" s="6"/>
      <c r="Q2389" s="1"/>
      <c r="R2389" s="1"/>
      <c r="S2389" s="1"/>
      <c r="T2389" s="1"/>
      <c r="U2389" s="1"/>
      <c r="V2389" s="1"/>
      <c r="W2389" s="1"/>
      <c r="X2389" s="1"/>
      <c r="Y2389" s="1"/>
      <c r="Z2389" s="1"/>
    </row>
    <row r="2390" customFormat="false" ht="21.75" hidden="false" customHeight="true" outlineLevel="0" collapsed="false">
      <c r="A2390" s="4" t="n">
        <v>43497</v>
      </c>
      <c r="B2390" s="61" t="s">
        <v>1114</v>
      </c>
      <c r="C2390" s="46" t="s">
        <v>15</v>
      </c>
      <c r="D2390" s="46" t="s">
        <v>43</v>
      </c>
      <c r="E2390" s="46" t="s">
        <v>883</v>
      </c>
      <c r="F2390" s="50" t="s">
        <v>4350</v>
      </c>
      <c r="G2390" s="51" t="n">
        <v>996420028</v>
      </c>
      <c r="H2390" s="52" t="s">
        <v>4351</v>
      </c>
      <c r="I2390" s="52"/>
      <c r="J2390" s="1"/>
      <c r="K2390" s="1" t="s">
        <v>21</v>
      </c>
      <c r="L2390" s="1"/>
      <c r="M2390" s="1"/>
      <c r="N2390" s="1"/>
      <c r="O2390" s="1"/>
      <c r="P2390" s="6"/>
      <c r="Q2390" s="1"/>
      <c r="R2390" s="1"/>
      <c r="S2390" s="1"/>
      <c r="T2390" s="1"/>
      <c r="U2390" s="1"/>
      <c r="V2390" s="1"/>
      <c r="W2390" s="1"/>
      <c r="X2390" s="1"/>
      <c r="Y2390" s="1"/>
      <c r="Z2390" s="1"/>
    </row>
    <row r="2391" customFormat="false" ht="21.75" hidden="false" customHeight="true" outlineLevel="0" collapsed="false">
      <c r="A2391" s="4" t="n">
        <v>43497</v>
      </c>
      <c r="B2391" s="61" t="s">
        <v>415</v>
      </c>
      <c r="C2391" s="46" t="s">
        <v>15</v>
      </c>
      <c r="D2391" s="46" t="s">
        <v>43</v>
      </c>
      <c r="E2391" s="46" t="s">
        <v>109</v>
      </c>
      <c r="F2391" s="50" t="s">
        <v>5577</v>
      </c>
      <c r="G2391" s="51" t="n">
        <v>979144002</v>
      </c>
      <c r="H2391" s="52" t="s">
        <v>5578</v>
      </c>
      <c r="I2391" s="52"/>
      <c r="J2391" s="1"/>
      <c r="K2391" s="1" t="s">
        <v>21</v>
      </c>
      <c r="L2391" s="1"/>
      <c r="M2391" s="1"/>
      <c r="N2391" s="1"/>
      <c r="O2391" s="1"/>
      <c r="P2391" s="6"/>
      <c r="Q2391" s="1"/>
      <c r="R2391" s="1"/>
      <c r="S2391" s="1"/>
      <c r="T2391" s="1"/>
      <c r="U2391" s="1"/>
      <c r="V2391" s="1"/>
      <c r="W2391" s="1"/>
      <c r="X2391" s="1"/>
      <c r="Y2391" s="1"/>
      <c r="Z2391" s="1"/>
    </row>
    <row r="2392" customFormat="false" ht="21.75" hidden="false" customHeight="true" outlineLevel="0" collapsed="false">
      <c r="A2392" s="4" t="n">
        <v>43498</v>
      </c>
      <c r="B2392" s="46" t="s">
        <v>352</v>
      </c>
      <c r="C2392" s="46" t="s">
        <v>15</v>
      </c>
      <c r="D2392" s="46" t="s">
        <v>43</v>
      </c>
      <c r="E2392" s="46" t="s">
        <v>883</v>
      </c>
      <c r="F2392" s="46" t="s">
        <v>5579</v>
      </c>
      <c r="G2392" s="46" t="n">
        <f aca="false">+593987534325</f>
        <v>593987534325</v>
      </c>
      <c r="H2392" s="46" t="s">
        <v>5580</v>
      </c>
      <c r="I2392" s="46"/>
      <c r="J2392" s="1"/>
      <c r="K2392" s="1" t="s">
        <v>21</v>
      </c>
      <c r="L2392" s="1"/>
      <c r="M2392" s="1"/>
      <c r="N2392" s="1"/>
      <c r="O2392" s="1"/>
      <c r="P2392" s="6"/>
      <c r="Q2392" s="1"/>
      <c r="R2392" s="1"/>
      <c r="S2392" s="1"/>
      <c r="T2392" s="1"/>
      <c r="U2392" s="1"/>
      <c r="V2392" s="1"/>
      <c r="W2392" s="1"/>
      <c r="X2392" s="1"/>
      <c r="Y2392" s="1"/>
      <c r="Z2392" s="1"/>
    </row>
    <row r="2393" customFormat="false" ht="21.75" hidden="false" customHeight="true" outlineLevel="0" collapsed="false">
      <c r="A2393" s="4" t="n">
        <v>43498</v>
      </c>
      <c r="B2393" s="46" t="s">
        <v>48</v>
      </c>
      <c r="C2393" s="46" t="s">
        <v>15</v>
      </c>
      <c r="D2393" s="46" t="s">
        <v>43</v>
      </c>
      <c r="E2393" s="46" t="s">
        <v>883</v>
      </c>
      <c r="F2393" s="46" t="s">
        <v>5581</v>
      </c>
      <c r="G2393" s="46" t="n">
        <f aca="false">+593981589078</f>
        <v>593981589078</v>
      </c>
      <c r="H2393" s="46" t="s">
        <v>5582</v>
      </c>
      <c r="I2393" s="46"/>
      <c r="J2393" s="1"/>
      <c r="K2393" s="1" t="s">
        <v>21</v>
      </c>
      <c r="L2393" s="1"/>
      <c r="M2393" s="1"/>
      <c r="N2393" s="1"/>
      <c r="O2393" s="1"/>
      <c r="P2393" s="6"/>
      <c r="Q2393" s="1"/>
      <c r="R2393" s="1"/>
      <c r="S2393" s="1"/>
      <c r="T2393" s="1"/>
      <c r="U2393" s="1"/>
      <c r="V2393" s="1"/>
      <c r="W2393" s="1"/>
      <c r="X2393" s="1"/>
      <c r="Y2393" s="1"/>
      <c r="Z2393" s="1"/>
    </row>
    <row r="2394" customFormat="false" ht="21.75" hidden="false" customHeight="true" outlineLevel="0" collapsed="false">
      <c r="A2394" s="4" t="n">
        <v>43498</v>
      </c>
      <c r="B2394" s="46" t="s">
        <v>48</v>
      </c>
      <c r="C2394" s="46" t="s">
        <v>15</v>
      </c>
      <c r="D2394" s="46" t="s">
        <v>43</v>
      </c>
      <c r="E2394" s="46" t="s">
        <v>883</v>
      </c>
      <c r="F2394" s="46" t="s">
        <v>5583</v>
      </c>
      <c r="G2394" s="46" t="n">
        <f aca="false">+5930991342001</f>
        <v>5930991342001</v>
      </c>
      <c r="H2394" s="46" t="s">
        <v>5584</v>
      </c>
      <c r="I2394" s="46"/>
      <c r="J2394" s="1"/>
      <c r="K2394" s="1" t="s">
        <v>21</v>
      </c>
      <c r="L2394" s="1"/>
      <c r="M2394" s="1"/>
      <c r="N2394" s="1"/>
      <c r="O2394" s="1"/>
      <c r="P2394" s="6"/>
      <c r="Q2394" s="1"/>
      <c r="R2394" s="1"/>
      <c r="S2394" s="1"/>
      <c r="T2394" s="1"/>
      <c r="U2394" s="1"/>
      <c r="V2394" s="1"/>
      <c r="W2394" s="1"/>
      <c r="X2394" s="1"/>
      <c r="Y2394" s="1"/>
      <c r="Z2394" s="1"/>
    </row>
    <row r="2395" customFormat="false" ht="21.75" hidden="false" customHeight="true" outlineLevel="0" collapsed="false">
      <c r="A2395" s="4" t="n">
        <v>43498</v>
      </c>
      <c r="B2395" s="46" t="s">
        <v>352</v>
      </c>
      <c r="C2395" s="46" t="s">
        <v>15</v>
      </c>
      <c r="D2395" s="46" t="s">
        <v>43</v>
      </c>
      <c r="E2395" s="46" t="s">
        <v>883</v>
      </c>
      <c r="F2395" s="46" t="s">
        <v>5585</v>
      </c>
      <c r="G2395" s="46" t="n">
        <f aca="false">+593959179653</f>
        <v>593959179653</v>
      </c>
      <c r="H2395" s="46" t="s">
        <v>5586</v>
      </c>
      <c r="I2395" s="46"/>
      <c r="J2395" s="1"/>
      <c r="K2395" s="1" t="s">
        <v>5587</v>
      </c>
      <c r="L2395" s="1"/>
      <c r="M2395" s="1"/>
      <c r="N2395" s="1"/>
      <c r="O2395" s="1"/>
      <c r="P2395" s="6"/>
      <c r="Q2395" s="1"/>
      <c r="R2395" s="1"/>
      <c r="S2395" s="1"/>
      <c r="T2395" s="1"/>
      <c r="U2395" s="1"/>
      <c r="V2395" s="1"/>
      <c r="W2395" s="1"/>
      <c r="X2395" s="1"/>
      <c r="Y2395" s="1"/>
      <c r="Z2395" s="1"/>
    </row>
    <row r="2396" customFormat="false" ht="21.75" hidden="false" customHeight="true" outlineLevel="0" collapsed="false">
      <c r="A2396" s="4" t="n">
        <v>43498</v>
      </c>
      <c r="B2396" s="46" t="s">
        <v>1114</v>
      </c>
      <c r="C2396" s="46" t="s">
        <v>15</v>
      </c>
      <c r="D2396" s="46" t="s">
        <v>43</v>
      </c>
      <c r="E2396" s="46" t="s">
        <v>883</v>
      </c>
      <c r="F2396" s="46" t="s">
        <v>5588</v>
      </c>
      <c r="G2396" s="46" t="n">
        <f aca="false">+593985779827</f>
        <v>593985779827</v>
      </c>
      <c r="H2396" s="46" t="s">
        <v>5589</v>
      </c>
      <c r="I2396" s="46"/>
      <c r="J2396" s="1"/>
      <c r="K2396" s="1" t="s">
        <v>5590</v>
      </c>
      <c r="L2396" s="1"/>
      <c r="M2396" s="1"/>
      <c r="N2396" s="1"/>
      <c r="O2396" s="1"/>
      <c r="P2396" s="6"/>
      <c r="Q2396" s="1"/>
      <c r="R2396" s="1"/>
      <c r="S2396" s="1"/>
      <c r="T2396" s="1"/>
      <c r="U2396" s="1"/>
      <c r="V2396" s="1"/>
      <c r="W2396" s="1"/>
      <c r="X2396" s="1"/>
      <c r="Y2396" s="1"/>
      <c r="Z2396" s="1"/>
    </row>
    <row r="2397" customFormat="false" ht="21.75" hidden="false" customHeight="true" outlineLevel="0" collapsed="false">
      <c r="A2397" s="4" t="n">
        <v>43498</v>
      </c>
      <c r="B2397" s="46" t="s">
        <v>1114</v>
      </c>
      <c r="C2397" s="46" t="s">
        <v>15</v>
      </c>
      <c r="D2397" s="46" t="s">
        <v>43</v>
      </c>
      <c r="E2397" s="46" t="s">
        <v>883</v>
      </c>
      <c r="F2397" s="46" t="s">
        <v>5591</v>
      </c>
      <c r="G2397" s="46" t="n">
        <f aca="false">+593999519478</f>
        <v>593999519478</v>
      </c>
      <c r="H2397" s="46" t="s">
        <v>5592</v>
      </c>
      <c r="I2397" s="46"/>
      <c r="J2397" s="1"/>
      <c r="K2397" s="1" t="s">
        <v>21</v>
      </c>
      <c r="L2397" s="1"/>
      <c r="M2397" s="1"/>
      <c r="N2397" s="1"/>
      <c r="O2397" s="1"/>
      <c r="P2397" s="6"/>
      <c r="Q2397" s="1"/>
      <c r="R2397" s="1"/>
      <c r="S2397" s="1"/>
      <c r="T2397" s="1"/>
      <c r="U2397" s="1"/>
      <c r="V2397" s="1"/>
      <c r="W2397" s="1"/>
      <c r="X2397" s="1"/>
      <c r="Y2397" s="1"/>
      <c r="Z2397" s="1"/>
    </row>
    <row r="2398" customFormat="false" ht="21.75" hidden="false" customHeight="true" outlineLevel="0" collapsed="false">
      <c r="A2398" s="4" t="n">
        <v>43498</v>
      </c>
      <c r="B2398" s="46" t="s">
        <v>415</v>
      </c>
      <c r="C2398" s="46" t="s">
        <v>15</v>
      </c>
      <c r="D2398" s="46" t="s">
        <v>43</v>
      </c>
      <c r="E2398" s="46" t="s">
        <v>883</v>
      </c>
      <c r="F2398" s="46" t="s">
        <v>5593</v>
      </c>
      <c r="G2398" s="46" t="n">
        <f aca="false">+593983090815</f>
        <v>593983090815</v>
      </c>
      <c r="H2398" s="46" t="s">
        <v>5594</v>
      </c>
      <c r="I2398" s="46"/>
      <c r="J2398" s="1"/>
      <c r="K2398" s="1" t="s">
        <v>21</v>
      </c>
      <c r="L2398" s="1"/>
      <c r="M2398" s="1"/>
      <c r="N2398" s="1"/>
      <c r="O2398" s="1"/>
      <c r="P2398" s="6"/>
      <c r="Q2398" s="1"/>
      <c r="R2398" s="1"/>
      <c r="S2398" s="1"/>
      <c r="T2398" s="1"/>
      <c r="U2398" s="1"/>
      <c r="V2398" s="1"/>
      <c r="W2398" s="1"/>
      <c r="X2398" s="1"/>
      <c r="Y2398" s="1"/>
      <c r="Z2398" s="1"/>
    </row>
    <row r="2399" customFormat="false" ht="21.75" hidden="false" customHeight="true" outlineLevel="0" collapsed="false">
      <c r="A2399" s="4" t="n">
        <v>43498</v>
      </c>
      <c r="B2399" s="46" t="s">
        <v>127</v>
      </c>
      <c r="C2399" s="46" t="s">
        <v>15</v>
      </c>
      <c r="D2399" s="46" t="s">
        <v>43</v>
      </c>
      <c r="E2399" s="46" t="s">
        <v>883</v>
      </c>
      <c r="F2399" s="46" t="s">
        <v>5595</v>
      </c>
      <c r="G2399" s="46" t="n">
        <f aca="false">+593979354396</f>
        <v>593979354396</v>
      </c>
      <c r="H2399" s="46" t="s">
        <v>5596</v>
      </c>
      <c r="I2399" s="46"/>
      <c r="J2399" s="1"/>
      <c r="K2399" s="1" t="s">
        <v>21</v>
      </c>
      <c r="L2399" s="1"/>
      <c r="M2399" s="1"/>
      <c r="N2399" s="1"/>
      <c r="O2399" s="1"/>
      <c r="P2399" s="6"/>
      <c r="Q2399" s="1"/>
      <c r="R2399" s="1"/>
      <c r="S2399" s="1"/>
      <c r="T2399" s="1"/>
      <c r="U2399" s="1"/>
      <c r="V2399" s="1"/>
      <c r="W2399" s="1"/>
      <c r="X2399" s="1"/>
      <c r="Y2399" s="1"/>
      <c r="Z2399" s="1"/>
    </row>
    <row r="2400" customFormat="false" ht="21.75" hidden="false" customHeight="true" outlineLevel="0" collapsed="false">
      <c r="A2400" s="4" t="n">
        <v>43498</v>
      </c>
      <c r="B2400" s="46" t="s">
        <v>1114</v>
      </c>
      <c r="C2400" s="46" t="s">
        <v>15</v>
      </c>
      <c r="D2400" s="46" t="s">
        <v>43</v>
      </c>
      <c r="E2400" s="46" t="s">
        <v>883</v>
      </c>
      <c r="F2400" s="46" t="s">
        <v>5597</v>
      </c>
      <c r="G2400" s="46" t="n">
        <f aca="false">+5930994964059</f>
        <v>5930994964059</v>
      </c>
      <c r="H2400" s="46" t="s">
        <v>5598</v>
      </c>
      <c r="I2400" s="46"/>
      <c r="J2400" s="1"/>
      <c r="K2400" s="1" t="s">
        <v>5599</v>
      </c>
      <c r="L2400" s="1"/>
      <c r="M2400" s="1"/>
      <c r="N2400" s="1"/>
      <c r="O2400" s="1"/>
      <c r="P2400" s="6"/>
      <c r="Q2400" s="1"/>
      <c r="R2400" s="1"/>
      <c r="S2400" s="1"/>
      <c r="T2400" s="1"/>
      <c r="U2400" s="1"/>
      <c r="V2400" s="1"/>
      <c r="W2400" s="1"/>
      <c r="X2400" s="1"/>
      <c r="Y2400" s="1"/>
      <c r="Z2400" s="1"/>
    </row>
    <row r="2401" customFormat="false" ht="21.75" hidden="false" customHeight="true" outlineLevel="0" collapsed="false">
      <c r="A2401" s="4" t="n">
        <v>43498</v>
      </c>
      <c r="B2401" s="46" t="s">
        <v>48</v>
      </c>
      <c r="C2401" s="46" t="s">
        <v>15</v>
      </c>
      <c r="D2401" s="46" t="s">
        <v>43</v>
      </c>
      <c r="E2401" s="46" t="s">
        <v>883</v>
      </c>
      <c r="F2401" s="46" t="s">
        <v>5600</v>
      </c>
      <c r="G2401" s="46" t="n">
        <f aca="false">+593997414230</f>
        <v>593997414230</v>
      </c>
      <c r="H2401" s="46" t="s">
        <v>5601</v>
      </c>
      <c r="I2401" s="46"/>
      <c r="J2401" s="1"/>
      <c r="K2401" s="1" t="s">
        <v>21</v>
      </c>
      <c r="L2401" s="1"/>
      <c r="M2401" s="1"/>
      <c r="N2401" s="1"/>
      <c r="O2401" s="1"/>
      <c r="P2401" s="6"/>
      <c r="Q2401" s="1"/>
      <c r="R2401" s="1"/>
      <c r="S2401" s="1"/>
      <c r="T2401" s="1"/>
      <c r="U2401" s="1"/>
      <c r="V2401" s="1"/>
      <c r="W2401" s="1"/>
      <c r="X2401" s="1"/>
      <c r="Y2401" s="1"/>
      <c r="Z2401" s="1"/>
    </row>
    <row r="2402" customFormat="false" ht="21.75" hidden="false" customHeight="true" outlineLevel="0" collapsed="false">
      <c r="A2402" s="4" t="n">
        <v>43498</v>
      </c>
      <c r="B2402" s="46" t="s">
        <v>127</v>
      </c>
      <c r="C2402" s="46" t="s">
        <v>15</v>
      </c>
      <c r="D2402" s="46" t="s">
        <v>43</v>
      </c>
      <c r="E2402" s="46" t="s">
        <v>883</v>
      </c>
      <c r="F2402" s="46" t="s">
        <v>5602</v>
      </c>
      <c r="G2402" s="46" t="n">
        <f aca="false">+593979510173</f>
        <v>593979510173</v>
      </c>
      <c r="H2402" s="46" t="s">
        <v>5603</v>
      </c>
      <c r="I2402" s="46"/>
      <c r="J2402" s="1"/>
      <c r="K2402" s="1" t="s">
        <v>1065</v>
      </c>
      <c r="L2402" s="1"/>
      <c r="M2402" s="1"/>
      <c r="N2402" s="1"/>
      <c r="O2402" s="1"/>
      <c r="P2402" s="6"/>
      <c r="Q2402" s="1"/>
      <c r="R2402" s="1"/>
      <c r="S2402" s="1"/>
      <c r="T2402" s="1"/>
      <c r="U2402" s="1"/>
      <c r="V2402" s="1"/>
      <c r="W2402" s="1"/>
      <c r="X2402" s="1"/>
      <c r="Y2402" s="1"/>
      <c r="Z2402" s="1"/>
    </row>
    <row r="2403" customFormat="false" ht="21.75" hidden="false" customHeight="true" outlineLevel="0" collapsed="false">
      <c r="A2403" s="4" t="n">
        <v>43498</v>
      </c>
      <c r="B2403" s="46" t="s">
        <v>352</v>
      </c>
      <c r="C2403" s="46" t="s">
        <v>15</v>
      </c>
      <c r="D2403" s="46" t="s">
        <v>43</v>
      </c>
      <c r="E2403" s="46" t="s">
        <v>883</v>
      </c>
      <c r="F2403" s="46" t="s">
        <v>5604</v>
      </c>
      <c r="G2403" s="46" t="n">
        <f aca="false">+593958961710</f>
        <v>593958961710</v>
      </c>
      <c r="H2403" s="46" t="s">
        <v>5605</v>
      </c>
      <c r="I2403" s="46"/>
      <c r="J2403" s="1"/>
      <c r="K2403" s="1" t="s">
        <v>21</v>
      </c>
      <c r="L2403" s="1"/>
      <c r="M2403" s="1"/>
      <c r="N2403" s="1"/>
      <c r="O2403" s="1"/>
      <c r="P2403" s="6"/>
      <c r="Q2403" s="1"/>
      <c r="R2403" s="1"/>
      <c r="S2403" s="1"/>
      <c r="T2403" s="1"/>
      <c r="U2403" s="1"/>
      <c r="V2403" s="1"/>
      <c r="W2403" s="1"/>
      <c r="X2403" s="1"/>
      <c r="Y2403" s="1"/>
      <c r="Z2403" s="1"/>
    </row>
    <row r="2404" customFormat="false" ht="21.75" hidden="false" customHeight="true" outlineLevel="0" collapsed="false">
      <c r="A2404" s="4" t="n">
        <v>43498</v>
      </c>
      <c r="B2404" s="46" t="s">
        <v>1114</v>
      </c>
      <c r="C2404" s="46" t="s">
        <v>15</v>
      </c>
      <c r="D2404" s="46" t="s">
        <v>43</v>
      </c>
      <c r="E2404" s="46" t="s">
        <v>883</v>
      </c>
      <c r="F2404" s="46" t="s">
        <v>5606</v>
      </c>
      <c r="G2404" s="46" t="n">
        <f aca="false">+593980832784</f>
        <v>593980832784</v>
      </c>
      <c r="H2404" s="46" t="s">
        <v>5607</v>
      </c>
      <c r="I2404" s="46"/>
      <c r="J2404" s="1"/>
      <c r="K2404" s="1" t="s">
        <v>21</v>
      </c>
      <c r="L2404" s="1"/>
      <c r="M2404" s="1"/>
      <c r="N2404" s="1"/>
      <c r="O2404" s="1"/>
      <c r="P2404" s="6"/>
      <c r="Q2404" s="1"/>
      <c r="R2404" s="1"/>
      <c r="S2404" s="1"/>
      <c r="T2404" s="1"/>
      <c r="U2404" s="1"/>
      <c r="V2404" s="1"/>
      <c r="W2404" s="1"/>
      <c r="X2404" s="1"/>
      <c r="Y2404" s="1"/>
      <c r="Z2404" s="1"/>
    </row>
    <row r="2405" customFormat="false" ht="21.75" hidden="false" customHeight="true" outlineLevel="0" collapsed="false">
      <c r="A2405" s="4" t="n">
        <v>43498</v>
      </c>
      <c r="B2405" s="46" t="s">
        <v>48</v>
      </c>
      <c r="C2405" s="46" t="s">
        <v>15</v>
      </c>
      <c r="D2405" s="46" t="s">
        <v>43</v>
      </c>
      <c r="E2405" s="46" t="s">
        <v>883</v>
      </c>
      <c r="F2405" s="46" t="s">
        <v>5608</v>
      </c>
      <c r="G2405" s="46" t="n">
        <f aca="false">+584142456977</f>
        <v>584142456977</v>
      </c>
      <c r="H2405" s="46" t="s">
        <v>5609</v>
      </c>
      <c r="I2405" s="46"/>
      <c r="J2405" s="1"/>
      <c r="K2405" s="1" t="s">
        <v>5610</v>
      </c>
      <c r="L2405" s="1"/>
      <c r="M2405" s="1"/>
      <c r="N2405" s="1"/>
      <c r="O2405" s="1"/>
      <c r="P2405" s="6"/>
      <c r="Q2405" s="1"/>
      <c r="R2405" s="1"/>
      <c r="S2405" s="1"/>
      <c r="T2405" s="1"/>
      <c r="U2405" s="1"/>
      <c r="V2405" s="1"/>
      <c r="W2405" s="1"/>
      <c r="X2405" s="1"/>
      <c r="Y2405" s="1"/>
      <c r="Z2405" s="1"/>
    </row>
    <row r="2406" customFormat="false" ht="21.75" hidden="false" customHeight="true" outlineLevel="0" collapsed="false">
      <c r="A2406" s="4" t="n">
        <v>43498</v>
      </c>
      <c r="B2406" s="46" t="s">
        <v>48</v>
      </c>
      <c r="C2406" s="46" t="s">
        <v>15</v>
      </c>
      <c r="D2406" s="46" t="s">
        <v>43</v>
      </c>
      <c r="E2406" s="46" t="s">
        <v>109</v>
      </c>
      <c r="F2406" s="46" t="s">
        <v>5611</v>
      </c>
      <c r="G2406" s="46" t="n">
        <f aca="false">+593988265480</f>
        <v>593988265480</v>
      </c>
      <c r="H2406" s="46" t="s">
        <v>5612</v>
      </c>
      <c r="I2406" s="46"/>
      <c r="J2406" s="1"/>
      <c r="K2406" s="1" t="s">
        <v>21</v>
      </c>
      <c r="L2406" s="1"/>
      <c r="M2406" s="1"/>
      <c r="N2406" s="1"/>
      <c r="O2406" s="1"/>
      <c r="P2406" s="6"/>
      <c r="Q2406" s="1"/>
      <c r="R2406" s="1"/>
      <c r="S2406" s="1"/>
      <c r="T2406" s="1"/>
      <c r="U2406" s="1"/>
      <c r="V2406" s="1"/>
      <c r="W2406" s="1"/>
      <c r="X2406" s="1"/>
      <c r="Y2406" s="1"/>
      <c r="Z2406" s="1"/>
    </row>
    <row r="2407" customFormat="false" ht="21.75" hidden="false" customHeight="true" outlineLevel="0" collapsed="false">
      <c r="A2407" s="4" t="n">
        <v>43498</v>
      </c>
      <c r="B2407" s="46" t="s">
        <v>1114</v>
      </c>
      <c r="C2407" s="46" t="s">
        <v>15</v>
      </c>
      <c r="D2407" s="46" t="s">
        <v>43</v>
      </c>
      <c r="E2407" s="46" t="s">
        <v>109</v>
      </c>
      <c r="F2407" s="46" t="s">
        <v>5613</v>
      </c>
      <c r="G2407" s="46" t="n">
        <f aca="false">+593994534389</f>
        <v>593994534389</v>
      </c>
      <c r="H2407" s="46" t="s">
        <v>5614</v>
      </c>
      <c r="I2407" s="46"/>
      <c r="J2407" s="1"/>
      <c r="K2407" s="1" t="s">
        <v>5615</v>
      </c>
      <c r="L2407" s="1"/>
      <c r="M2407" s="1"/>
      <c r="N2407" s="1"/>
      <c r="O2407" s="1"/>
      <c r="P2407" s="6"/>
      <c r="Q2407" s="1"/>
      <c r="R2407" s="1"/>
      <c r="S2407" s="1"/>
      <c r="T2407" s="1"/>
      <c r="U2407" s="1"/>
      <c r="V2407" s="1"/>
      <c r="W2407" s="1"/>
      <c r="X2407" s="1"/>
      <c r="Y2407" s="1"/>
      <c r="Z2407" s="1"/>
    </row>
    <row r="2408" customFormat="false" ht="21.75" hidden="false" customHeight="true" outlineLevel="0" collapsed="false">
      <c r="A2408" s="4" t="n">
        <v>43498</v>
      </c>
      <c r="B2408" s="46" t="s">
        <v>48</v>
      </c>
      <c r="C2408" s="46" t="s">
        <v>15</v>
      </c>
      <c r="D2408" s="46" t="s">
        <v>43</v>
      </c>
      <c r="E2408" s="46" t="s">
        <v>109</v>
      </c>
      <c r="F2408" s="46" t="s">
        <v>5616</v>
      </c>
      <c r="G2408" s="46" t="n">
        <f aca="false">+593999946708</f>
        <v>593999946708</v>
      </c>
      <c r="H2408" s="46" t="s">
        <v>5617</v>
      </c>
      <c r="I2408" s="46"/>
      <c r="J2408" s="1"/>
      <c r="K2408" s="1" t="s">
        <v>21</v>
      </c>
      <c r="L2408" s="1"/>
      <c r="M2408" s="1"/>
      <c r="N2408" s="1"/>
      <c r="O2408" s="1"/>
      <c r="P2408" s="6"/>
      <c r="Q2408" s="1"/>
      <c r="R2408" s="1"/>
      <c r="S2408" s="1"/>
      <c r="T2408" s="1"/>
      <c r="U2408" s="1"/>
      <c r="V2408" s="1"/>
      <c r="W2408" s="1"/>
      <c r="X2408" s="1"/>
      <c r="Y2408" s="1"/>
      <c r="Z2408" s="1"/>
    </row>
    <row r="2409" customFormat="false" ht="21.75" hidden="false" customHeight="true" outlineLevel="0" collapsed="false">
      <c r="A2409" s="4" t="n">
        <v>43498</v>
      </c>
      <c r="B2409" s="46" t="s">
        <v>1114</v>
      </c>
      <c r="C2409" s="46" t="s">
        <v>15</v>
      </c>
      <c r="D2409" s="46" t="s">
        <v>43</v>
      </c>
      <c r="E2409" s="46" t="s">
        <v>109</v>
      </c>
      <c r="F2409" s="46" t="s">
        <v>5618</v>
      </c>
      <c r="G2409" s="46" t="n">
        <f aca="false">+593996218010</f>
        <v>593996218010</v>
      </c>
      <c r="H2409" s="46" t="s">
        <v>5619</v>
      </c>
      <c r="I2409" s="46"/>
      <c r="J2409" s="1"/>
      <c r="K2409" s="1" t="s">
        <v>21</v>
      </c>
      <c r="L2409" s="1"/>
      <c r="M2409" s="1"/>
      <c r="N2409" s="1"/>
      <c r="O2409" s="1"/>
      <c r="P2409" s="6"/>
      <c r="Q2409" s="1"/>
      <c r="R2409" s="1"/>
      <c r="S2409" s="1"/>
      <c r="T2409" s="1"/>
      <c r="U2409" s="1"/>
      <c r="V2409" s="1"/>
      <c r="W2409" s="1"/>
      <c r="X2409" s="1"/>
      <c r="Y2409" s="1"/>
      <c r="Z2409" s="1"/>
    </row>
    <row r="2410" customFormat="false" ht="21.75" hidden="false" customHeight="true" outlineLevel="0" collapsed="false">
      <c r="A2410" s="4" t="n">
        <v>43498</v>
      </c>
      <c r="B2410" s="46" t="s">
        <v>48</v>
      </c>
      <c r="C2410" s="46" t="s">
        <v>15</v>
      </c>
      <c r="D2410" s="46" t="s">
        <v>43</v>
      </c>
      <c r="E2410" s="46" t="s">
        <v>109</v>
      </c>
      <c r="F2410" s="46" t="s">
        <v>5620</v>
      </c>
      <c r="G2410" s="46" t="n">
        <f aca="false">+593985104137</f>
        <v>593985104137</v>
      </c>
      <c r="H2410" s="46" t="s">
        <v>5621</v>
      </c>
      <c r="I2410" s="46"/>
      <c r="J2410" s="1"/>
      <c r="K2410" s="1" t="s">
        <v>5086</v>
      </c>
      <c r="L2410" s="1"/>
      <c r="M2410" s="1"/>
      <c r="N2410" s="1"/>
      <c r="O2410" s="1"/>
      <c r="P2410" s="6"/>
      <c r="Q2410" s="1"/>
      <c r="R2410" s="1"/>
      <c r="S2410" s="1"/>
      <c r="T2410" s="1"/>
      <c r="U2410" s="1"/>
      <c r="V2410" s="1"/>
      <c r="W2410" s="1"/>
      <c r="X2410" s="1"/>
      <c r="Y2410" s="1"/>
      <c r="Z2410" s="1"/>
    </row>
    <row r="2411" customFormat="false" ht="21.75" hidden="false" customHeight="true" outlineLevel="0" collapsed="false">
      <c r="A2411" s="4" t="n">
        <v>43498</v>
      </c>
      <c r="B2411" s="46" t="s">
        <v>48</v>
      </c>
      <c r="C2411" s="46" t="s">
        <v>26</v>
      </c>
      <c r="D2411" s="46" t="s">
        <v>43</v>
      </c>
      <c r="E2411" s="46" t="s">
        <v>109</v>
      </c>
      <c r="F2411" s="46" t="s">
        <v>5622</v>
      </c>
      <c r="G2411" s="46" t="n">
        <f aca="false">+593992895104</f>
        <v>593992895104</v>
      </c>
      <c r="H2411" s="46" t="s">
        <v>5623</v>
      </c>
      <c r="I2411" s="46"/>
      <c r="J2411" s="1"/>
      <c r="K2411" s="1" t="s">
        <v>21</v>
      </c>
      <c r="L2411" s="1"/>
      <c r="M2411" s="1"/>
      <c r="N2411" s="1"/>
      <c r="O2411" s="1"/>
      <c r="P2411" s="6"/>
      <c r="Q2411" s="1"/>
      <c r="R2411" s="1"/>
      <c r="S2411" s="1"/>
      <c r="T2411" s="1"/>
      <c r="U2411" s="1"/>
      <c r="V2411" s="1"/>
      <c r="W2411" s="1"/>
      <c r="X2411" s="1"/>
      <c r="Y2411" s="1"/>
      <c r="Z2411" s="1"/>
    </row>
    <row r="2412" customFormat="false" ht="21.75" hidden="false" customHeight="true" outlineLevel="0" collapsed="false">
      <c r="A2412" s="4" t="n">
        <v>43498</v>
      </c>
      <c r="B2412" s="46" t="s">
        <v>127</v>
      </c>
      <c r="C2412" s="46" t="s">
        <v>15</v>
      </c>
      <c r="D2412" s="46" t="s">
        <v>43</v>
      </c>
      <c r="E2412" s="46" t="s">
        <v>109</v>
      </c>
      <c r="F2412" s="46" t="s">
        <v>5624</v>
      </c>
      <c r="G2412" s="46" t="n">
        <f aca="false">+5930958938724</f>
        <v>5930958938724</v>
      </c>
      <c r="H2412" s="46" t="s">
        <v>5625</v>
      </c>
      <c r="I2412" s="46"/>
      <c r="J2412" s="1"/>
      <c r="K2412" s="1" t="s">
        <v>21</v>
      </c>
      <c r="L2412" s="1"/>
      <c r="M2412" s="1"/>
      <c r="N2412" s="1"/>
      <c r="O2412" s="1"/>
      <c r="P2412" s="6"/>
      <c r="Q2412" s="1"/>
      <c r="R2412" s="1"/>
      <c r="S2412" s="1"/>
      <c r="T2412" s="1"/>
      <c r="U2412" s="1"/>
      <c r="V2412" s="1"/>
      <c r="W2412" s="1"/>
      <c r="X2412" s="1"/>
      <c r="Y2412" s="1"/>
      <c r="Z2412" s="1"/>
    </row>
    <row r="2413" customFormat="false" ht="21.75" hidden="false" customHeight="true" outlineLevel="0" collapsed="false">
      <c r="A2413" s="4" t="n">
        <v>43498</v>
      </c>
      <c r="B2413" s="46" t="s">
        <v>1114</v>
      </c>
      <c r="C2413" s="46" t="s">
        <v>15</v>
      </c>
      <c r="D2413" s="46" t="s">
        <v>43</v>
      </c>
      <c r="E2413" s="46" t="s">
        <v>109</v>
      </c>
      <c r="F2413" s="46" t="s">
        <v>5626</v>
      </c>
      <c r="G2413" s="46" t="n">
        <f aca="false">+593986319104</f>
        <v>593986319104</v>
      </c>
      <c r="H2413" s="46" t="s">
        <v>5627</v>
      </c>
      <c r="I2413" s="46"/>
      <c r="J2413" s="1"/>
      <c r="K2413" s="1" t="s">
        <v>21</v>
      </c>
      <c r="L2413" s="1"/>
      <c r="M2413" s="1"/>
      <c r="N2413" s="1"/>
      <c r="O2413" s="1"/>
      <c r="P2413" s="6"/>
      <c r="Q2413" s="1"/>
      <c r="R2413" s="1"/>
      <c r="S2413" s="1"/>
      <c r="T2413" s="1"/>
      <c r="U2413" s="1"/>
      <c r="V2413" s="1"/>
      <c r="W2413" s="1"/>
      <c r="X2413" s="1"/>
      <c r="Y2413" s="1"/>
      <c r="Z2413" s="1"/>
    </row>
    <row r="2414" customFormat="false" ht="21.75" hidden="false" customHeight="true" outlineLevel="0" collapsed="false">
      <c r="A2414" s="4" t="n">
        <v>43498</v>
      </c>
      <c r="B2414" s="46" t="s">
        <v>48</v>
      </c>
      <c r="C2414" s="46" t="s">
        <v>15</v>
      </c>
      <c r="D2414" s="46" t="s">
        <v>43</v>
      </c>
      <c r="E2414" s="46" t="s">
        <v>109</v>
      </c>
      <c r="F2414" s="46" t="s">
        <v>5628</v>
      </c>
      <c r="G2414" s="46" t="n">
        <f aca="false">+593984309751</f>
        <v>593984309751</v>
      </c>
      <c r="H2414" s="46" t="s">
        <v>5629</v>
      </c>
      <c r="I2414" s="46"/>
      <c r="J2414" s="1"/>
      <c r="K2414" s="1" t="s">
        <v>21</v>
      </c>
      <c r="L2414" s="1"/>
      <c r="M2414" s="1"/>
      <c r="N2414" s="1"/>
      <c r="O2414" s="1"/>
      <c r="P2414" s="6"/>
      <c r="Q2414" s="1"/>
      <c r="R2414" s="1"/>
      <c r="S2414" s="1"/>
      <c r="T2414" s="1"/>
      <c r="U2414" s="1"/>
      <c r="V2414" s="1"/>
      <c r="W2414" s="1"/>
      <c r="X2414" s="1"/>
      <c r="Y2414" s="1"/>
      <c r="Z2414" s="1"/>
    </row>
    <row r="2415" customFormat="false" ht="21.75" hidden="false" customHeight="true" outlineLevel="0" collapsed="false">
      <c r="A2415" s="4" t="n">
        <v>43498</v>
      </c>
      <c r="B2415" s="46" t="s">
        <v>48</v>
      </c>
      <c r="C2415" s="46" t="s">
        <v>15</v>
      </c>
      <c r="D2415" s="46" t="s">
        <v>43</v>
      </c>
      <c r="E2415" s="46" t="s">
        <v>109</v>
      </c>
      <c r="F2415" s="46" t="s">
        <v>5630</v>
      </c>
      <c r="G2415" s="46" t="n">
        <f aca="false">+593985899221</f>
        <v>593985899221</v>
      </c>
      <c r="H2415" s="46" t="s">
        <v>5631</v>
      </c>
      <c r="I2415" s="46"/>
      <c r="J2415" s="1"/>
      <c r="K2415" s="1" t="s">
        <v>5632</v>
      </c>
      <c r="L2415" s="1"/>
      <c r="M2415" s="1"/>
      <c r="N2415" s="1"/>
      <c r="O2415" s="1"/>
      <c r="P2415" s="6"/>
      <c r="Q2415" s="1"/>
      <c r="R2415" s="1"/>
      <c r="S2415" s="1"/>
      <c r="T2415" s="1"/>
      <c r="U2415" s="1"/>
      <c r="V2415" s="1"/>
      <c r="W2415" s="1"/>
      <c r="X2415" s="1"/>
      <c r="Y2415" s="1"/>
      <c r="Z2415" s="1"/>
    </row>
    <row r="2416" customFormat="false" ht="21.75" hidden="false" customHeight="true" outlineLevel="0" collapsed="false">
      <c r="A2416" s="4" t="n">
        <v>43498</v>
      </c>
      <c r="B2416" s="46" t="s">
        <v>352</v>
      </c>
      <c r="C2416" s="46" t="s">
        <v>15</v>
      </c>
      <c r="D2416" s="46" t="s">
        <v>43</v>
      </c>
      <c r="E2416" s="46" t="s">
        <v>109</v>
      </c>
      <c r="F2416" s="46" t="s">
        <v>5633</v>
      </c>
      <c r="G2416" s="46" t="n">
        <f aca="false">+593992250896</f>
        <v>593992250896</v>
      </c>
      <c r="H2416" s="46" t="s">
        <v>5634</v>
      </c>
      <c r="I2416" s="46"/>
      <c r="J2416" s="1"/>
      <c r="K2416" s="1" t="s">
        <v>5635</v>
      </c>
      <c r="L2416" s="1"/>
      <c r="M2416" s="1"/>
      <c r="N2416" s="1"/>
      <c r="O2416" s="1"/>
      <c r="P2416" s="6"/>
      <c r="Q2416" s="1"/>
      <c r="R2416" s="1"/>
      <c r="S2416" s="1"/>
      <c r="T2416" s="1"/>
      <c r="U2416" s="1"/>
      <c r="V2416" s="1"/>
      <c r="W2416" s="1"/>
      <c r="X2416" s="1"/>
      <c r="Y2416" s="1"/>
      <c r="Z2416" s="1"/>
    </row>
    <row r="2417" customFormat="false" ht="21.75" hidden="false" customHeight="true" outlineLevel="0" collapsed="false">
      <c r="A2417" s="4" t="n">
        <v>43498</v>
      </c>
      <c r="B2417" s="46" t="s">
        <v>352</v>
      </c>
      <c r="C2417" s="46" t="s">
        <v>15</v>
      </c>
      <c r="D2417" s="46" t="s">
        <v>43</v>
      </c>
      <c r="E2417" s="46" t="s">
        <v>109</v>
      </c>
      <c r="F2417" s="46" t="s">
        <v>5636</v>
      </c>
      <c r="G2417" s="46" t="n">
        <f aca="false">+593993241645</f>
        <v>593993241645</v>
      </c>
      <c r="H2417" s="46" t="s">
        <v>5637</v>
      </c>
      <c r="I2417" s="46"/>
      <c r="J2417" s="1"/>
      <c r="K2417" s="1" t="s">
        <v>21</v>
      </c>
      <c r="L2417" s="1"/>
      <c r="M2417" s="1"/>
      <c r="N2417" s="1"/>
      <c r="O2417" s="1"/>
      <c r="P2417" s="6"/>
      <c r="Q2417" s="1"/>
      <c r="R2417" s="1"/>
      <c r="S2417" s="1"/>
      <c r="T2417" s="1"/>
      <c r="U2417" s="1"/>
      <c r="V2417" s="1"/>
      <c r="W2417" s="1"/>
      <c r="X2417" s="1"/>
      <c r="Y2417" s="1"/>
      <c r="Z2417" s="1"/>
    </row>
    <row r="2418" customFormat="false" ht="21.75" hidden="false" customHeight="true" outlineLevel="0" collapsed="false">
      <c r="A2418" s="4" t="n">
        <v>43498</v>
      </c>
      <c r="B2418" s="46" t="s">
        <v>48</v>
      </c>
      <c r="C2418" s="46" t="s">
        <v>15</v>
      </c>
      <c r="D2418" s="46" t="s">
        <v>43</v>
      </c>
      <c r="E2418" s="46" t="s">
        <v>109</v>
      </c>
      <c r="F2418" s="46" t="s">
        <v>5638</v>
      </c>
      <c r="G2418" s="46" t="n">
        <f aca="false">+593980273380</f>
        <v>593980273380</v>
      </c>
      <c r="H2418" s="46" t="s">
        <v>5639</v>
      </c>
      <c r="I2418" s="46"/>
      <c r="J2418" s="1"/>
      <c r="K2418" s="1" t="s">
        <v>21</v>
      </c>
      <c r="L2418" s="1"/>
      <c r="M2418" s="1"/>
      <c r="N2418" s="1"/>
      <c r="O2418" s="1"/>
      <c r="P2418" s="6"/>
      <c r="Q2418" s="1"/>
      <c r="R2418" s="1"/>
      <c r="S2418" s="1"/>
      <c r="T2418" s="1"/>
      <c r="U2418" s="1"/>
      <c r="V2418" s="1"/>
      <c r="W2418" s="1"/>
      <c r="X2418" s="1"/>
      <c r="Y2418" s="1"/>
      <c r="Z2418" s="1"/>
    </row>
    <row r="2419" customFormat="false" ht="21.75" hidden="false" customHeight="true" outlineLevel="0" collapsed="false">
      <c r="A2419" s="4" t="n">
        <v>43498</v>
      </c>
      <c r="B2419" s="46" t="s">
        <v>1478</v>
      </c>
      <c r="C2419" s="46" t="s">
        <v>15</v>
      </c>
      <c r="D2419" s="46" t="s">
        <v>43</v>
      </c>
      <c r="E2419" s="46" t="s">
        <v>109</v>
      </c>
      <c r="F2419" s="46" t="s">
        <v>5640</v>
      </c>
      <c r="G2419" s="46" t="n">
        <f aca="false">+593993041718</f>
        <v>593993041718</v>
      </c>
      <c r="H2419" s="46" t="s">
        <v>5641</v>
      </c>
      <c r="I2419" s="46"/>
      <c r="J2419" s="1"/>
      <c r="K2419" s="1" t="s">
        <v>260</v>
      </c>
      <c r="L2419" s="1"/>
      <c r="M2419" s="1"/>
      <c r="N2419" s="1"/>
      <c r="O2419" s="1"/>
      <c r="P2419" s="6"/>
      <c r="Q2419" s="1"/>
      <c r="R2419" s="1"/>
      <c r="S2419" s="1"/>
      <c r="T2419" s="1"/>
      <c r="U2419" s="1"/>
      <c r="V2419" s="1"/>
      <c r="W2419" s="1"/>
      <c r="X2419" s="1"/>
      <c r="Y2419" s="1"/>
      <c r="Z2419" s="1"/>
    </row>
    <row r="2420" customFormat="false" ht="21.75" hidden="false" customHeight="true" outlineLevel="0" collapsed="false">
      <c r="A2420" s="4" t="n">
        <v>43498</v>
      </c>
      <c r="B2420" s="46" t="s">
        <v>1114</v>
      </c>
      <c r="C2420" s="46" t="s">
        <v>15</v>
      </c>
      <c r="D2420" s="46" t="s">
        <v>43</v>
      </c>
      <c r="E2420" s="46" t="s">
        <v>109</v>
      </c>
      <c r="F2420" s="46" t="s">
        <v>5642</v>
      </c>
      <c r="G2420" s="46" t="n">
        <f aca="false">+593996951600</f>
        <v>593996951600</v>
      </c>
      <c r="H2420" s="46" t="s">
        <v>5643</v>
      </c>
      <c r="I2420" s="46"/>
      <c r="J2420" s="1"/>
      <c r="K2420" s="1" t="s">
        <v>21</v>
      </c>
      <c r="L2420" s="1"/>
      <c r="M2420" s="1"/>
      <c r="N2420" s="1"/>
      <c r="O2420" s="1"/>
      <c r="P2420" s="6"/>
      <c r="Q2420" s="1"/>
      <c r="R2420" s="1"/>
      <c r="S2420" s="1"/>
      <c r="T2420" s="1"/>
      <c r="U2420" s="1"/>
      <c r="V2420" s="1"/>
      <c r="W2420" s="1"/>
      <c r="X2420" s="1"/>
      <c r="Y2420" s="1"/>
      <c r="Z2420" s="1"/>
    </row>
    <row r="2421" customFormat="false" ht="21.75" hidden="false" customHeight="true" outlineLevel="0" collapsed="false">
      <c r="A2421" s="4" t="n">
        <v>43498</v>
      </c>
      <c r="B2421" s="46" t="s">
        <v>1114</v>
      </c>
      <c r="C2421" s="46" t="s">
        <v>26</v>
      </c>
      <c r="D2421" s="46" t="s">
        <v>43</v>
      </c>
      <c r="E2421" s="46" t="s">
        <v>109</v>
      </c>
      <c r="F2421" s="46" t="s">
        <v>5644</v>
      </c>
      <c r="G2421" s="46" t="n">
        <f aca="false">+5930959023965</f>
        <v>5930959023965</v>
      </c>
      <c r="H2421" s="46" t="s">
        <v>5645</v>
      </c>
      <c r="I2421" s="46"/>
      <c r="J2421" s="1"/>
      <c r="K2421" s="1" t="s">
        <v>21</v>
      </c>
      <c r="L2421" s="1"/>
      <c r="M2421" s="1"/>
      <c r="N2421" s="1"/>
      <c r="O2421" s="1"/>
      <c r="P2421" s="6"/>
      <c r="Q2421" s="1"/>
      <c r="R2421" s="1"/>
      <c r="S2421" s="1"/>
      <c r="T2421" s="1"/>
      <c r="U2421" s="1"/>
      <c r="V2421" s="1"/>
      <c r="W2421" s="1"/>
      <c r="X2421" s="1"/>
      <c r="Y2421" s="1"/>
      <c r="Z2421" s="1"/>
    </row>
    <row r="2422" customFormat="false" ht="21.75" hidden="false" customHeight="true" outlineLevel="0" collapsed="false">
      <c r="A2422" s="4" t="n">
        <v>43498</v>
      </c>
      <c r="B2422" s="46" t="s">
        <v>48</v>
      </c>
      <c r="C2422" s="46" t="s">
        <v>15</v>
      </c>
      <c r="D2422" s="46" t="s">
        <v>43</v>
      </c>
      <c r="E2422" s="46" t="s">
        <v>109</v>
      </c>
      <c r="F2422" s="46" t="s">
        <v>5646</v>
      </c>
      <c r="G2422" s="46" t="n">
        <f aca="false">+593995389896</f>
        <v>593995389896</v>
      </c>
      <c r="H2422" s="46" t="s">
        <v>5647</v>
      </c>
      <c r="I2422" s="46"/>
      <c r="J2422" s="1"/>
      <c r="K2422" s="1" t="s">
        <v>21</v>
      </c>
      <c r="L2422" s="1"/>
      <c r="M2422" s="1"/>
      <c r="N2422" s="1"/>
      <c r="O2422" s="1"/>
      <c r="P2422" s="6"/>
      <c r="Q2422" s="1"/>
      <c r="R2422" s="1"/>
      <c r="S2422" s="1"/>
      <c r="T2422" s="1"/>
      <c r="U2422" s="1"/>
      <c r="V2422" s="1"/>
      <c r="W2422" s="1"/>
      <c r="X2422" s="1"/>
      <c r="Y2422" s="1"/>
      <c r="Z2422" s="1"/>
    </row>
    <row r="2423" customFormat="false" ht="21.75" hidden="false" customHeight="true" outlineLevel="0" collapsed="false">
      <c r="A2423" s="4" t="n">
        <v>43498</v>
      </c>
      <c r="B2423" s="46" t="s">
        <v>352</v>
      </c>
      <c r="C2423" s="46" t="s">
        <v>26</v>
      </c>
      <c r="D2423" s="46" t="s">
        <v>43</v>
      </c>
      <c r="E2423" s="46" t="s">
        <v>109</v>
      </c>
      <c r="F2423" s="46" t="s">
        <v>5648</v>
      </c>
      <c r="G2423" s="46" t="n">
        <f aca="false">+5930979459283</f>
        <v>5930979459283</v>
      </c>
      <c r="H2423" s="46" t="s">
        <v>5649</v>
      </c>
      <c r="I2423" s="46"/>
      <c r="J2423" s="1"/>
      <c r="K2423" s="1" t="s">
        <v>21</v>
      </c>
      <c r="L2423" s="1"/>
      <c r="M2423" s="1"/>
      <c r="N2423" s="1"/>
      <c r="O2423" s="1"/>
      <c r="P2423" s="6"/>
      <c r="Q2423" s="1"/>
      <c r="R2423" s="1"/>
      <c r="S2423" s="1"/>
      <c r="T2423" s="1"/>
      <c r="U2423" s="1"/>
      <c r="V2423" s="1"/>
      <c r="W2423" s="1"/>
      <c r="X2423" s="1"/>
      <c r="Y2423" s="1"/>
      <c r="Z2423" s="1"/>
    </row>
    <row r="2424" customFormat="false" ht="21.75" hidden="false" customHeight="true" outlineLevel="0" collapsed="false">
      <c r="A2424" s="4" t="n">
        <v>43498</v>
      </c>
      <c r="B2424" s="46" t="s">
        <v>532</v>
      </c>
      <c r="C2424" s="46" t="s">
        <v>15</v>
      </c>
      <c r="D2424" s="46" t="s">
        <v>43</v>
      </c>
      <c r="E2424" s="46" t="s">
        <v>109</v>
      </c>
      <c r="F2424" s="46" t="s">
        <v>5650</v>
      </c>
      <c r="G2424" s="46" t="n">
        <f aca="false">+593981323006</f>
        <v>593981323006</v>
      </c>
      <c r="H2424" s="46" t="s">
        <v>5651</v>
      </c>
      <c r="I2424" s="46"/>
      <c r="J2424" s="1"/>
      <c r="K2424" s="1" t="s">
        <v>5652</v>
      </c>
      <c r="L2424" s="1"/>
      <c r="M2424" s="1"/>
      <c r="N2424" s="1"/>
      <c r="O2424" s="1"/>
      <c r="P2424" s="6"/>
      <c r="Q2424" s="1"/>
      <c r="R2424" s="1"/>
      <c r="S2424" s="1"/>
      <c r="T2424" s="1"/>
      <c r="U2424" s="1"/>
      <c r="V2424" s="1"/>
      <c r="W2424" s="1"/>
      <c r="X2424" s="1"/>
      <c r="Y2424" s="1"/>
      <c r="Z2424" s="1"/>
    </row>
    <row r="2425" customFormat="false" ht="21.75" hidden="false" customHeight="true" outlineLevel="0" collapsed="false">
      <c r="A2425" s="4" t="n">
        <v>43498</v>
      </c>
      <c r="B2425" s="46" t="s">
        <v>178</v>
      </c>
      <c r="C2425" s="46" t="s">
        <v>15</v>
      </c>
      <c r="D2425" s="46" t="s">
        <v>43</v>
      </c>
      <c r="E2425" s="46" t="s">
        <v>109</v>
      </c>
      <c r="F2425" s="46" t="s">
        <v>5653</v>
      </c>
      <c r="G2425" s="46" t="n">
        <f aca="false">+593999989418</f>
        <v>593999989418</v>
      </c>
      <c r="H2425" s="46" t="s">
        <v>5654</v>
      </c>
      <c r="I2425" s="46"/>
      <c r="J2425" s="1"/>
      <c r="K2425" s="1" t="s">
        <v>21</v>
      </c>
      <c r="L2425" s="1"/>
      <c r="M2425" s="1"/>
      <c r="N2425" s="1"/>
      <c r="O2425" s="1"/>
      <c r="P2425" s="6"/>
      <c r="Q2425" s="1"/>
      <c r="R2425" s="1"/>
      <c r="S2425" s="1"/>
      <c r="T2425" s="1"/>
      <c r="U2425" s="1"/>
      <c r="V2425" s="1"/>
      <c r="W2425" s="1"/>
      <c r="X2425" s="1"/>
      <c r="Y2425" s="1"/>
      <c r="Z2425" s="1"/>
    </row>
    <row r="2426" customFormat="false" ht="21.75" hidden="false" customHeight="true" outlineLevel="0" collapsed="false">
      <c r="A2426" s="4" t="n">
        <v>43498</v>
      </c>
      <c r="B2426" s="46" t="s">
        <v>1478</v>
      </c>
      <c r="C2426" s="46" t="s">
        <v>15</v>
      </c>
      <c r="D2426" s="46" t="s">
        <v>43</v>
      </c>
      <c r="E2426" s="46" t="s">
        <v>109</v>
      </c>
      <c r="F2426" s="46" t="s">
        <v>5655</v>
      </c>
      <c r="G2426" s="46" t="n">
        <f aca="false">+593979916989</f>
        <v>593979916989</v>
      </c>
      <c r="H2426" s="46" t="s">
        <v>5656</v>
      </c>
      <c r="I2426" s="46"/>
      <c r="J2426" s="1"/>
      <c r="K2426" s="1" t="s">
        <v>673</v>
      </c>
      <c r="L2426" s="1"/>
      <c r="M2426" s="1"/>
      <c r="N2426" s="1"/>
      <c r="O2426" s="1"/>
      <c r="P2426" s="6"/>
      <c r="Q2426" s="1"/>
      <c r="R2426" s="1"/>
      <c r="S2426" s="1"/>
      <c r="T2426" s="1"/>
      <c r="U2426" s="1"/>
      <c r="V2426" s="1"/>
      <c r="W2426" s="1"/>
      <c r="X2426" s="1"/>
      <c r="Y2426" s="1"/>
      <c r="Z2426" s="1"/>
    </row>
    <row r="2427" customFormat="false" ht="21.75" hidden="false" customHeight="true" outlineLevel="0" collapsed="false">
      <c r="A2427" s="4" t="n">
        <v>43498</v>
      </c>
      <c r="B2427" s="46" t="s">
        <v>42</v>
      </c>
      <c r="C2427" s="46" t="s">
        <v>15</v>
      </c>
      <c r="D2427" s="46" t="s">
        <v>43</v>
      </c>
      <c r="E2427" s="46" t="s">
        <v>109</v>
      </c>
      <c r="F2427" s="46" t="s">
        <v>5657</v>
      </c>
      <c r="G2427" s="46" t="n">
        <f aca="false">+593981160611</f>
        <v>593981160611</v>
      </c>
      <c r="H2427" s="46" t="s">
        <v>5658</v>
      </c>
      <c r="I2427" s="46"/>
      <c r="J2427" s="1"/>
      <c r="K2427" s="1" t="s">
        <v>5659</v>
      </c>
      <c r="L2427" s="1"/>
      <c r="M2427" s="1"/>
      <c r="N2427" s="1"/>
      <c r="O2427" s="1"/>
      <c r="P2427" s="6"/>
      <c r="Q2427" s="1"/>
      <c r="R2427" s="1"/>
      <c r="S2427" s="1"/>
      <c r="T2427" s="1"/>
      <c r="U2427" s="1"/>
      <c r="V2427" s="1"/>
      <c r="W2427" s="1"/>
      <c r="X2427" s="1"/>
      <c r="Y2427" s="1"/>
      <c r="Z2427" s="1"/>
    </row>
    <row r="2428" customFormat="false" ht="21.75" hidden="false" customHeight="true" outlineLevel="0" collapsed="false">
      <c r="A2428" s="4" t="n">
        <v>43498</v>
      </c>
      <c r="B2428" s="46" t="s">
        <v>1106</v>
      </c>
      <c r="C2428" s="46" t="s">
        <v>15</v>
      </c>
      <c r="D2428" s="46" t="s">
        <v>43</v>
      </c>
      <c r="E2428" s="46" t="s">
        <v>109</v>
      </c>
      <c r="F2428" s="46" t="s">
        <v>5660</v>
      </c>
      <c r="G2428" s="46" t="n">
        <f aca="false">+5930988124987</f>
        <v>5930988124987</v>
      </c>
      <c r="H2428" s="46" t="s">
        <v>5661</v>
      </c>
      <c r="I2428" s="46"/>
      <c r="J2428" s="1"/>
      <c r="K2428" s="1" t="s">
        <v>21</v>
      </c>
      <c r="L2428" s="1"/>
      <c r="M2428" s="1"/>
      <c r="N2428" s="1"/>
      <c r="O2428" s="1"/>
      <c r="P2428" s="6"/>
      <c r="Q2428" s="1"/>
      <c r="R2428" s="1"/>
      <c r="S2428" s="1"/>
      <c r="T2428" s="1"/>
      <c r="U2428" s="1"/>
      <c r="V2428" s="1"/>
      <c r="W2428" s="1"/>
      <c r="X2428" s="1"/>
      <c r="Y2428" s="1"/>
      <c r="Z2428" s="1"/>
    </row>
    <row r="2429" customFormat="false" ht="21.75" hidden="false" customHeight="true" outlineLevel="0" collapsed="false">
      <c r="A2429" s="4" t="n">
        <v>43498</v>
      </c>
      <c r="B2429" s="46" t="s">
        <v>415</v>
      </c>
      <c r="C2429" s="46" t="s">
        <v>15</v>
      </c>
      <c r="D2429" s="46" t="s">
        <v>43</v>
      </c>
      <c r="E2429" s="46" t="s">
        <v>109</v>
      </c>
      <c r="F2429" s="46" t="s">
        <v>5662</v>
      </c>
      <c r="G2429" s="46" t="n">
        <f aca="false">+5930983534524</f>
        <v>5930983534524</v>
      </c>
      <c r="H2429" s="46" t="s">
        <v>5663</v>
      </c>
      <c r="I2429" s="46"/>
      <c r="J2429" s="1"/>
      <c r="K2429" s="2" t="s">
        <v>5664</v>
      </c>
      <c r="L2429" s="1"/>
      <c r="M2429" s="1"/>
      <c r="N2429" s="1"/>
      <c r="O2429" s="1"/>
      <c r="P2429" s="6"/>
      <c r="Q2429" s="1"/>
      <c r="R2429" s="1"/>
      <c r="S2429" s="1"/>
      <c r="T2429" s="1"/>
      <c r="U2429" s="1"/>
      <c r="V2429" s="1"/>
      <c r="W2429" s="1"/>
      <c r="X2429" s="1"/>
      <c r="Y2429" s="1"/>
      <c r="Z2429" s="1"/>
    </row>
    <row r="2430" customFormat="false" ht="21.75" hidden="false" customHeight="true" outlineLevel="0" collapsed="false">
      <c r="A2430" s="4" t="n">
        <v>43498</v>
      </c>
      <c r="B2430" s="46" t="s">
        <v>1106</v>
      </c>
      <c r="C2430" s="46" t="s">
        <v>15</v>
      </c>
      <c r="D2430" s="46" t="s">
        <v>43</v>
      </c>
      <c r="E2430" s="46" t="s">
        <v>109</v>
      </c>
      <c r="F2430" s="46" t="s">
        <v>5665</v>
      </c>
      <c r="G2430" s="46" t="n">
        <f aca="false">+593994594634</f>
        <v>593994594634</v>
      </c>
      <c r="H2430" s="46" t="s">
        <v>5666</v>
      </c>
      <c r="I2430" s="46"/>
      <c r="J2430" s="1"/>
      <c r="K2430" s="1" t="s">
        <v>21</v>
      </c>
      <c r="L2430" s="1"/>
      <c r="M2430" s="1"/>
      <c r="N2430" s="1"/>
      <c r="O2430" s="1"/>
      <c r="P2430" s="6"/>
      <c r="Q2430" s="1"/>
      <c r="R2430" s="1"/>
      <c r="S2430" s="1"/>
      <c r="T2430" s="1"/>
      <c r="U2430" s="1"/>
      <c r="V2430" s="1"/>
      <c r="W2430" s="1"/>
      <c r="X2430" s="1"/>
      <c r="Y2430" s="1"/>
      <c r="Z2430" s="1"/>
    </row>
    <row r="2431" customFormat="false" ht="21.75" hidden="false" customHeight="true" outlineLevel="0" collapsed="false">
      <c r="A2431" s="4" t="n">
        <v>43498</v>
      </c>
      <c r="B2431" s="46" t="s">
        <v>1106</v>
      </c>
      <c r="C2431" s="46" t="s">
        <v>15</v>
      </c>
      <c r="D2431" s="46" t="s">
        <v>43</v>
      </c>
      <c r="E2431" s="46" t="s">
        <v>109</v>
      </c>
      <c r="F2431" s="46" t="s">
        <v>5667</v>
      </c>
      <c r="G2431" s="46" t="n">
        <f aca="false">+593960676759</f>
        <v>593960676759</v>
      </c>
      <c r="H2431" s="46" t="s">
        <v>5668</v>
      </c>
      <c r="I2431" s="46"/>
      <c r="J2431" s="1"/>
      <c r="K2431" s="1" t="s">
        <v>65</v>
      </c>
      <c r="L2431" s="1"/>
      <c r="M2431" s="1"/>
      <c r="N2431" s="1"/>
      <c r="O2431" s="1"/>
      <c r="P2431" s="6"/>
      <c r="Q2431" s="1"/>
      <c r="R2431" s="1"/>
      <c r="S2431" s="1"/>
      <c r="T2431" s="1"/>
      <c r="U2431" s="1"/>
      <c r="V2431" s="1"/>
      <c r="W2431" s="1"/>
      <c r="X2431" s="1"/>
      <c r="Y2431" s="1"/>
      <c r="Z2431" s="1"/>
    </row>
    <row r="2432" customFormat="false" ht="21.75" hidden="false" customHeight="true" outlineLevel="0" collapsed="false">
      <c r="A2432" s="4" t="n">
        <v>43498</v>
      </c>
      <c r="B2432" s="46" t="s">
        <v>81</v>
      </c>
      <c r="C2432" s="46" t="s">
        <v>15</v>
      </c>
      <c r="D2432" s="46" t="s">
        <v>43</v>
      </c>
      <c r="E2432" s="46" t="s">
        <v>109</v>
      </c>
      <c r="F2432" s="46" t="s">
        <v>5669</v>
      </c>
      <c r="G2432" s="46" t="n">
        <f aca="false">+593989308667</f>
        <v>593989308667</v>
      </c>
      <c r="H2432" s="46" t="s">
        <v>5670</v>
      </c>
      <c r="I2432" s="46"/>
      <c r="J2432" s="1"/>
      <c r="K2432" s="1" t="s">
        <v>21</v>
      </c>
      <c r="L2432" s="1"/>
      <c r="M2432" s="1"/>
      <c r="N2432" s="1"/>
      <c r="O2432" s="1"/>
      <c r="P2432" s="6"/>
      <c r="Q2432" s="1"/>
      <c r="R2432" s="1"/>
      <c r="S2432" s="1"/>
      <c r="T2432" s="1"/>
      <c r="U2432" s="1"/>
      <c r="V2432" s="1"/>
      <c r="W2432" s="1"/>
      <c r="X2432" s="1"/>
      <c r="Y2432" s="1"/>
      <c r="Z2432" s="1"/>
    </row>
    <row r="2433" customFormat="false" ht="21.75" hidden="false" customHeight="true" outlineLevel="0" collapsed="false">
      <c r="A2433" s="4" t="n">
        <v>43498</v>
      </c>
      <c r="B2433" s="46" t="s">
        <v>1114</v>
      </c>
      <c r="C2433" s="46" t="s">
        <v>15</v>
      </c>
      <c r="D2433" s="46" t="s">
        <v>43</v>
      </c>
      <c r="E2433" s="46" t="s">
        <v>109</v>
      </c>
      <c r="F2433" s="46" t="s">
        <v>5671</v>
      </c>
      <c r="G2433" s="46" t="n">
        <f aca="false">+5930987545831</f>
        <v>5930987545831</v>
      </c>
      <c r="H2433" s="46" t="s">
        <v>5672</v>
      </c>
      <c r="I2433" s="46"/>
      <c r="J2433" s="1"/>
      <c r="K2433" s="1" t="s">
        <v>5673</v>
      </c>
      <c r="L2433" s="1"/>
      <c r="M2433" s="1"/>
      <c r="N2433" s="1"/>
      <c r="O2433" s="1"/>
      <c r="P2433" s="6"/>
      <c r="Q2433" s="1"/>
      <c r="R2433" s="1"/>
      <c r="S2433" s="1"/>
      <c r="T2433" s="1"/>
      <c r="U2433" s="1"/>
      <c r="V2433" s="1"/>
      <c r="W2433" s="1"/>
      <c r="X2433" s="1"/>
      <c r="Y2433" s="1"/>
      <c r="Z2433" s="1"/>
    </row>
    <row r="2434" customFormat="false" ht="21.75" hidden="false" customHeight="true" outlineLevel="0" collapsed="false">
      <c r="A2434" s="4" t="n">
        <v>43498</v>
      </c>
      <c r="B2434" s="46" t="s">
        <v>42</v>
      </c>
      <c r="C2434" s="46" t="s">
        <v>15</v>
      </c>
      <c r="D2434" s="46" t="s">
        <v>43</v>
      </c>
      <c r="E2434" s="46" t="s">
        <v>109</v>
      </c>
      <c r="F2434" s="46" t="s">
        <v>5674</v>
      </c>
      <c r="G2434" s="46" t="n">
        <f aca="false">+593980802809</f>
        <v>593980802809</v>
      </c>
      <c r="H2434" s="46" t="s">
        <v>5675</v>
      </c>
      <c r="I2434" s="46"/>
      <c r="J2434" s="1"/>
      <c r="K2434" s="1" t="s">
        <v>21</v>
      </c>
      <c r="L2434" s="1"/>
      <c r="M2434" s="1"/>
      <c r="N2434" s="1"/>
      <c r="O2434" s="1"/>
      <c r="P2434" s="6"/>
      <c r="Q2434" s="1"/>
      <c r="R2434" s="1"/>
      <c r="S2434" s="1"/>
      <c r="T2434" s="1"/>
      <c r="U2434" s="1"/>
      <c r="V2434" s="1"/>
      <c r="W2434" s="1"/>
      <c r="X2434" s="1"/>
      <c r="Y2434" s="1"/>
      <c r="Z2434" s="1"/>
    </row>
    <row r="2435" customFormat="false" ht="21.75" hidden="false" customHeight="true" outlineLevel="0" collapsed="false">
      <c r="A2435" s="4" t="n">
        <v>43498</v>
      </c>
      <c r="B2435" s="46" t="s">
        <v>532</v>
      </c>
      <c r="C2435" s="46" t="s">
        <v>15</v>
      </c>
      <c r="D2435" s="46" t="s">
        <v>43</v>
      </c>
      <c r="E2435" s="46" t="s">
        <v>109</v>
      </c>
      <c r="F2435" s="46" t="s">
        <v>5676</v>
      </c>
      <c r="G2435" s="57" t="n">
        <v>961721129</v>
      </c>
      <c r="H2435" s="46" t="s">
        <v>5677</v>
      </c>
      <c r="I2435" s="46"/>
      <c r="J2435" s="1"/>
      <c r="K2435" s="1" t="s">
        <v>21</v>
      </c>
      <c r="L2435" s="1"/>
      <c r="M2435" s="1"/>
      <c r="N2435" s="1"/>
      <c r="O2435" s="1"/>
      <c r="P2435" s="6"/>
      <c r="Q2435" s="1"/>
      <c r="R2435" s="1"/>
      <c r="S2435" s="1"/>
      <c r="T2435" s="1"/>
      <c r="U2435" s="1"/>
      <c r="V2435" s="1"/>
      <c r="W2435" s="1"/>
      <c r="X2435" s="1"/>
      <c r="Y2435" s="1"/>
      <c r="Z2435" s="1"/>
    </row>
    <row r="2436" customFormat="false" ht="21.75" hidden="false" customHeight="true" outlineLevel="0" collapsed="false">
      <c r="A2436" s="4" t="n">
        <v>43498</v>
      </c>
      <c r="B2436" s="46" t="s">
        <v>48</v>
      </c>
      <c r="C2436" s="46" t="s">
        <v>15</v>
      </c>
      <c r="D2436" s="46" t="s">
        <v>43</v>
      </c>
      <c r="E2436" s="46" t="s">
        <v>109</v>
      </c>
      <c r="F2436" s="46" t="s">
        <v>5678</v>
      </c>
      <c r="G2436" s="46" t="n">
        <f aca="false">+593996863711</f>
        <v>593996863711</v>
      </c>
      <c r="H2436" s="46" t="s">
        <v>5679</v>
      </c>
      <c r="I2436" s="46"/>
      <c r="J2436" s="1"/>
      <c r="K2436" s="1" t="s">
        <v>4752</v>
      </c>
      <c r="L2436" s="1"/>
      <c r="M2436" s="1"/>
      <c r="N2436" s="1"/>
      <c r="O2436" s="1"/>
      <c r="P2436" s="6"/>
      <c r="Q2436" s="1"/>
      <c r="R2436" s="1"/>
      <c r="S2436" s="1"/>
      <c r="T2436" s="1"/>
      <c r="U2436" s="1"/>
      <c r="V2436" s="1"/>
      <c r="W2436" s="1"/>
      <c r="X2436" s="1"/>
      <c r="Y2436" s="1"/>
      <c r="Z2436" s="1"/>
    </row>
    <row r="2437" customFormat="false" ht="21.75" hidden="false" customHeight="true" outlineLevel="0" collapsed="false">
      <c r="A2437" s="4" t="n">
        <v>43498</v>
      </c>
      <c r="B2437" s="46" t="s">
        <v>48</v>
      </c>
      <c r="C2437" s="46" t="s">
        <v>15</v>
      </c>
      <c r="D2437" s="46" t="s">
        <v>43</v>
      </c>
      <c r="E2437" s="46" t="s">
        <v>109</v>
      </c>
      <c r="F2437" s="46" t="s">
        <v>5680</v>
      </c>
      <c r="G2437" s="46" t="n">
        <f aca="false">+5930992292880</f>
        <v>5930992292880</v>
      </c>
      <c r="H2437" s="46" t="s">
        <v>5681</v>
      </c>
      <c r="I2437" s="46"/>
      <c r="J2437" s="1"/>
      <c r="K2437" s="1" t="s">
        <v>5086</v>
      </c>
      <c r="L2437" s="1"/>
      <c r="M2437" s="1"/>
      <c r="N2437" s="1"/>
      <c r="O2437" s="1"/>
      <c r="P2437" s="6"/>
      <c r="Q2437" s="1"/>
      <c r="R2437" s="1"/>
      <c r="S2437" s="1"/>
      <c r="T2437" s="1"/>
      <c r="U2437" s="1"/>
      <c r="V2437" s="1"/>
      <c r="W2437" s="1"/>
      <c r="X2437" s="1"/>
      <c r="Y2437" s="1"/>
      <c r="Z2437" s="1"/>
    </row>
    <row r="2438" customFormat="false" ht="21.75" hidden="false" customHeight="true" outlineLevel="0" collapsed="false">
      <c r="A2438" s="4" t="n">
        <v>43498</v>
      </c>
      <c r="B2438" s="46" t="s">
        <v>1114</v>
      </c>
      <c r="C2438" s="46" t="s">
        <v>15</v>
      </c>
      <c r="D2438" s="46" t="s">
        <v>43</v>
      </c>
      <c r="E2438" s="46" t="s">
        <v>109</v>
      </c>
      <c r="F2438" s="46" t="s">
        <v>5682</v>
      </c>
      <c r="G2438" s="46" t="n">
        <f aca="false">+593958923906</f>
        <v>593958923906</v>
      </c>
      <c r="H2438" s="46" t="s">
        <v>5683</v>
      </c>
      <c r="I2438" s="46"/>
      <c r="J2438" s="1"/>
      <c r="K2438" s="1" t="s">
        <v>1144</v>
      </c>
      <c r="L2438" s="1"/>
      <c r="M2438" s="1"/>
      <c r="N2438" s="1"/>
      <c r="O2438" s="1"/>
      <c r="P2438" s="6"/>
      <c r="Q2438" s="1"/>
      <c r="R2438" s="1"/>
      <c r="S2438" s="1"/>
      <c r="T2438" s="1"/>
      <c r="U2438" s="1"/>
      <c r="V2438" s="1"/>
      <c r="W2438" s="1"/>
      <c r="X2438" s="1"/>
      <c r="Y2438" s="1"/>
      <c r="Z2438" s="1"/>
    </row>
    <row r="2439" customFormat="false" ht="21.75" hidden="false" customHeight="true" outlineLevel="0" collapsed="false">
      <c r="A2439" s="4" t="n">
        <v>43498</v>
      </c>
      <c r="B2439" s="46" t="s">
        <v>1114</v>
      </c>
      <c r="C2439" s="46" t="s">
        <v>15</v>
      </c>
      <c r="D2439" s="46" t="s">
        <v>43</v>
      </c>
      <c r="E2439" s="46" t="s">
        <v>109</v>
      </c>
      <c r="F2439" s="46" t="s">
        <v>5684</v>
      </c>
      <c r="G2439" s="46" t="n">
        <f aca="false">+593995715010</f>
        <v>593995715010</v>
      </c>
      <c r="H2439" s="46" t="s">
        <v>5685</v>
      </c>
      <c r="I2439" s="46"/>
      <c r="J2439" s="1"/>
      <c r="K2439" s="1" t="s">
        <v>21</v>
      </c>
      <c r="L2439" s="1"/>
      <c r="M2439" s="1"/>
      <c r="N2439" s="1"/>
      <c r="O2439" s="1"/>
      <c r="P2439" s="6"/>
      <c r="Q2439" s="1"/>
      <c r="R2439" s="1"/>
      <c r="S2439" s="1"/>
      <c r="T2439" s="1"/>
      <c r="U2439" s="1"/>
      <c r="V2439" s="1"/>
      <c r="W2439" s="1"/>
      <c r="X2439" s="1"/>
      <c r="Y2439" s="1"/>
      <c r="Z2439" s="1"/>
    </row>
    <row r="2440" customFormat="false" ht="21.75" hidden="false" customHeight="true" outlineLevel="0" collapsed="false">
      <c r="A2440" s="4" t="n">
        <v>43498</v>
      </c>
      <c r="B2440" s="46" t="s">
        <v>415</v>
      </c>
      <c r="C2440" s="46" t="s">
        <v>15</v>
      </c>
      <c r="D2440" s="46" t="s">
        <v>43</v>
      </c>
      <c r="E2440" s="46" t="s">
        <v>109</v>
      </c>
      <c r="F2440" s="46" t="s">
        <v>5686</v>
      </c>
      <c r="G2440" s="57" t="n">
        <v>983877877</v>
      </c>
      <c r="H2440" s="46" t="s">
        <v>5687</v>
      </c>
      <c r="I2440" s="46"/>
      <c r="J2440" s="1"/>
      <c r="K2440" s="1" t="s">
        <v>21</v>
      </c>
      <c r="L2440" s="1"/>
      <c r="M2440" s="1"/>
      <c r="N2440" s="1"/>
      <c r="O2440" s="1"/>
      <c r="P2440" s="6"/>
      <c r="Q2440" s="1"/>
      <c r="R2440" s="1"/>
      <c r="S2440" s="1"/>
      <c r="T2440" s="1"/>
      <c r="U2440" s="1"/>
      <c r="V2440" s="1"/>
      <c r="W2440" s="1"/>
      <c r="X2440" s="1"/>
      <c r="Y2440" s="1"/>
      <c r="Z2440" s="1"/>
    </row>
    <row r="2441" customFormat="false" ht="21.75" hidden="false" customHeight="true" outlineLevel="0" collapsed="false">
      <c r="A2441" s="4" t="n">
        <v>43498</v>
      </c>
      <c r="B2441" s="46" t="s">
        <v>81</v>
      </c>
      <c r="C2441" s="46" t="s">
        <v>15</v>
      </c>
      <c r="D2441" s="46" t="s">
        <v>43</v>
      </c>
      <c r="E2441" s="46" t="s">
        <v>109</v>
      </c>
      <c r="F2441" s="46" t="s">
        <v>5688</v>
      </c>
      <c r="G2441" s="46" t="n">
        <f aca="false">+593967145322</f>
        <v>593967145322</v>
      </c>
      <c r="H2441" s="46" t="s">
        <v>5689</v>
      </c>
      <c r="I2441" s="46"/>
      <c r="J2441" s="1"/>
      <c r="K2441" s="1" t="s">
        <v>1144</v>
      </c>
      <c r="L2441" s="1"/>
      <c r="M2441" s="1"/>
      <c r="N2441" s="1"/>
      <c r="O2441" s="1"/>
      <c r="P2441" s="6"/>
      <c r="Q2441" s="1"/>
      <c r="R2441" s="1"/>
      <c r="S2441" s="1"/>
      <c r="T2441" s="1"/>
      <c r="U2441" s="1"/>
      <c r="V2441" s="1"/>
      <c r="W2441" s="1"/>
      <c r="X2441" s="1"/>
      <c r="Y2441" s="1"/>
      <c r="Z2441" s="1"/>
    </row>
    <row r="2442" customFormat="false" ht="21.75" hidden="false" customHeight="true" outlineLevel="0" collapsed="false">
      <c r="A2442" s="4" t="n">
        <v>43498</v>
      </c>
      <c r="B2442" s="46" t="s">
        <v>352</v>
      </c>
      <c r="C2442" s="46" t="s">
        <v>15</v>
      </c>
      <c r="D2442" s="46" t="s">
        <v>43</v>
      </c>
      <c r="E2442" s="46" t="s">
        <v>109</v>
      </c>
      <c r="F2442" s="46" t="s">
        <v>5690</v>
      </c>
      <c r="G2442" s="46" t="n">
        <f aca="false">+5930994263890</f>
        <v>5930994263890</v>
      </c>
      <c r="H2442" s="46" t="s">
        <v>5691</v>
      </c>
      <c r="I2442" s="46"/>
      <c r="J2442" s="1"/>
      <c r="K2442" s="1" t="s">
        <v>21</v>
      </c>
      <c r="L2442" s="1"/>
      <c r="M2442" s="1"/>
      <c r="N2442" s="1"/>
      <c r="O2442" s="1"/>
      <c r="P2442" s="6"/>
      <c r="Q2442" s="1"/>
      <c r="R2442" s="1"/>
      <c r="S2442" s="1"/>
      <c r="T2442" s="1"/>
      <c r="U2442" s="1"/>
      <c r="V2442" s="1"/>
      <c r="W2442" s="1"/>
      <c r="X2442" s="1"/>
      <c r="Y2442" s="1"/>
      <c r="Z2442" s="1"/>
    </row>
    <row r="2443" customFormat="false" ht="21.75" hidden="false" customHeight="true" outlineLevel="0" collapsed="false">
      <c r="A2443" s="4" t="n">
        <v>43498</v>
      </c>
      <c r="B2443" s="61" t="s">
        <v>48</v>
      </c>
      <c r="C2443" s="46" t="s">
        <v>15</v>
      </c>
      <c r="D2443" s="46" t="s">
        <v>43</v>
      </c>
      <c r="E2443" s="46" t="s">
        <v>44</v>
      </c>
      <c r="F2443" s="46" t="s">
        <v>5692</v>
      </c>
      <c r="G2443" s="46" t="n">
        <f aca="false">+593997049123</f>
        <v>593997049123</v>
      </c>
      <c r="H2443" s="46" t="s">
        <v>5693</v>
      </c>
      <c r="I2443" s="46"/>
      <c r="J2443" s="1"/>
      <c r="K2443" s="1" t="s">
        <v>21</v>
      </c>
      <c r="L2443" s="1"/>
      <c r="M2443" s="1"/>
      <c r="N2443" s="1"/>
      <c r="O2443" s="1"/>
      <c r="P2443" s="6"/>
      <c r="Q2443" s="1"/>
      <c r="R2443" s="1"/>
      <c r="S2443" s="1"/>
      <c r="T2443" s="1"/>
      <c r="U2443" s="1"/>
      <c r="V2443" s="1"/>
      <c r="W2443" s="1"/>
      <c r="X2443" s="1"/>
      <c r="Y2443" s="1"/>
      <c r="Z2443" s="1"/>
    </row>
    <row r="2444" customFormat="false" ht="21.75" hidden="false" customHeight="true" outlineLevel="0" collapsed="false">
      <c r="A2444" s="4" t="n">
        <v>43498</v>
      </c>
      <c r="B2444" s="61" t="s">
        <v>48</v>
      </c>
      <c r="C2444" s="46" t="s">
        <v>15</v>
      </c>
      <c r="D2444" s="46" t="s">
        <v>43</v>
      </c>
      <c r="E2444" s="46" t="s">
        <v>44</v>
      </c>
      <c r="F2444" s="46" t="s">
        <v>5694</v>
      </c>
      <c r="G2444" s="46" t="n">
        <f aca="false">+593969134080</f>
        <v>593969134080</v>
      </c>
      <c r="H2444" s="46" t="s">
        <v>5695</v>
      </c>
      <c r="I2444" s="46"/>
      <c r="J2444" s="1"/>
      <c r="K2444" s="1" t="s">
        <v>21</v>
      </c>
      <c r="L2444" s="1"/>
      <c r="M2444" s="1"/>
      <c r="N2444" s="1"/>
      <c r="O2444" s="1"/>
      <c r="P2444" s="6"/>
      <c r="Q2444" s="1"/>
      <c r="R2444" s="1"/>
      <c r="S2444" s="1"/>
      <c r="T2444" s="1"/>
      <c r="U2444" s="1"/>
      <c r="V2444" s="1"/>
      <c r="W2444" s="1"/>
      <c r="X2444" s="1"/>
      <c r="Y2444" s="1"/>
      <c r="Z2444" s="1"/>
    </row>
    <row r="2445" customFormat="false" ht="21.75" hidden="false" customHeight="true" outlineLevel="0" collapsed="false">
      <c r="A2445" s="4" t="n">
        <v>43498</v>
      </c>
      <c r="B2445" s="61" t="s">
        <v>48</v>
      </c>
      <c r="C2445" s="46" t="s">
        <v>15</v>
      </c>
      <c r="D2445" s="46" t="s">
        <v>43</v>
      </c>
      <c r="E2445" s="46" t="s">
        <v>44</v>
      </c>
      <c r="F2445" s="46" t="s">
        <v>5696</v>
      </c>
      <c r="G2445" s="46" t="n">
        <f aca="false">+593994750710</f>
        <v>593994750710</v>
      </c>
      <c r="H2445" s="46" t="s">
        <v>5697</v>
      </c>
      <c r="I2445" s="46"/>
      <c r="J2445" s="1"/>
      <c r="K2445" s="1" t="s">
        <v>21</v>
      </c>
      <c r="L2445" s="1"/>
      <c r="M2445" s="1"/>
      <c r="N2445" s="1"/>
      <c r="O2445" s="1"/>
      <c r="P2445" s="6"/>
      <c r="Q2445" s="1"/>
      <c r="R2445" s="1"/>
      <c r="S2445" s="1"/>
      <c r="T2445" s="1"/>
      <c r="U2445" s="1"/>
      <c r="V2445" s="1"/>
      <c r="W2445" s="1"/>
      <c r="X2445" s="1"/>
      <c r="Y2445" s="1"/>
      <c r="Z2445" s="1"/>
    </row>
    <row r="2446" customFormat="false" ht="21.75" hidden="false" customHeight="true" outlineLevel="0" collapsed="false">
      <c r="A2446" s="4" t="n">
        <v>43498</v>
      </c>
      <c r="B2446" s="61" t="s">
        <v>48</v>
      </c>
      <c r="C2446" s="46" t="s">
        <v>26</v>
      </c>
      <c r="D2446" s="46" t="s">
        <v>43</v>
      </c>
      <c r="E2446" s="46" t="s">
        <v>44</v>
      </c>
      <c r="F2446" s="46" t="s">
        <v>5698</v>
      </c>
      <c r="G2446" s="46" t="n">
        <f aca="false">+593984635278</f>
        <v>593984635278</v>
      </c>
      <c r="H2446" s="46" t="s">
        <v>5699</v>
      </c>
      <c r="I2446" s="46"/>
      <c r="J2446" s="1"/>
      <c r="K2446" s="2" t="s">
        <v>5700</v>
      </c>
      <c r="L2446" s="1"/>
      <c r="M2446" s="1"/>
      <c r="N2446" s="1"/>
      <c r="O2446" s="1"/>
      <c r="P2446" s="6"/>
      <c r="Q2446" s="1"/>
      <c r="R2446" s="1"/>
      <c r="S2446" s="1"/>
      <c r="T2446" s="1"/>
      <c r="U2446" s="1"/>
      <c r="V2446" s="1"/>
      <c r="W2446" s="1"/>
      <c r="X2446" s="1"/>
      <c r="Y2446" s="1"/>
      <c r="Z2446" s="1"/>
    </row>
    <row r="2447" customFormat="false" ht="21.75" hidden="false" customHeight="true" outlineLevel="0" collapsed="false">
      <c r="A2447" s="4" t="n">
        <v>43498</v>
      </c>
      <c r="B2447" s="61" t="s">
        <v>48</v>
      </c>
      <c r="C2447" s="46" t="s">
        <v>15</v>
      </c>
      <c r="D2447" s="46" t="s">
        <v>43</v>
      </c>
      <c r="E2447" s="46" t="s">
        <v>44</v>
      </c>
      <c r="F2447" s="46" t="s">
        <v>5701</v>
      </c>
      <c r="G2447" s="46" t="n">
        <f aca="false">+5930959229525</f>
        <v>5930959229525</v>
      </c>
      <c r="H2447" s="46" t="s">
        <v>5702</v>
      </c>
      <c r="I2447" s="46"/>
      <c r="J2447" s="1"/>
      <c r="K2447" s="1" t="s">
        <v>21</v>
      </c>
      <c r="L2447" s="1"/>
      <c r="M2447" s="1"/>
      <c r="N2447" s="1"/>
      <c r="O2447" s="1"/>
      <c r="P2447" s="6"/>
      <c r="Q2447" s="1"/>
      <c r="R2447" s="1"/>
      <c r="S2447" s="1"/>
      <c r="T2447" s="1"/>
      <c r="U2447" s="1"/>
      <c r="V2447" s="1"/>
      <c r="W2447" s="1"/>
      <c r="X2447" s="1"/>
      <c r="Y2447" s="1"/>
      <c r="Z2447" s="1"/>
    </row>
    <row r="2448" customFormat="false" ht="21.75" hidden="false" customHeight="true" outlineLevel="0" collapsed="false">
      <c r="A2448" s="4" t="n">
        <v>43498</v>
      </c>
      <c r="B2448" s="61" t="s">
        <v>48</v>
      </c>
      <c r="C2448" s="46" t="s">
        <v>15</v>
      </c>
      <c r="D2448" s="46" t="s">
        <v>43</v>
      </c>
      <c r="E2448" s="46" t="s">
        <v>44</v>
      </c>
      <c r="F2448" s="46" t="s">
        <v>5703</v>
      </c>
      <c r="G2448" s="46" t="n">
        <f aca="false">+593998667231</f>
        <v>593998667231</v>
      </c>
      <c r="H2448" s="46" t="s">
        <v>5704</v>
      </c>
      <c r="I2448" s="46"/>
      <c r="J2448" s="1"/>
      <c r="K2448" s="1" t="s">
        <v>21</v>
      </c>
      <c r="L2448" s="1"/>
      <c r="M2448" s="1"/>
      <c r="N2448" s="1"/>
      <c r="O2448" s="1"/>
      <c r="P2448" s="6"/>
      <c r="Q2448" s="1"/>
      <c r="R2448" s="1"/>
      <c r="S2448" s="1"/>
      <c r="T2448" s="1"/>
      <c r="U2448" s="1"/>
      <c r="V2448" s="1"/>
      <c r="W2448" s="1"/>
      <c r="X2448" s="1"/>
      <c r="Y2448" s="1"/>
      <c r="Z2448" s="1"/>
    </row>
    <row r="2449" customFormat="false" ht="21.75" hidden="false" customHeight="true" outlineLevel="0" collapsed="false">
      <c r="A2449" s="4" t="n">
        <v>43498</v>
      </c>
      <c r="B2449" s="61" t="s">
        <v>48</v>
      </c>
      <c r="C2449" s="46" t="s">
        <v>15</v>
      </c>
      <c r="D2449" s="46" t="s">
        <v>43</v>
      </c>
      <c r="E2449" s="46" t="s">
        <v>44</v>
      </c>
      <c r="F2449" s="46" t="s">
        <v>5705</v>
      </c>
      <c r="G2449" s="46" t="n">
        <f aca="false">+593984549148</f>
        <v>593984549148</v>
      </c>
      <c r="H2449" s="46" t="s">
        <v>5706</v>
      </c>
      <c r="I2449" s="46"/>
      <c r="J2449" s="1"/>
      <c r="K2449" s="1" t="s">
        <v>107</v>
      </c>
      <c r="L2449" s="1"/>
      <c r="M2449" s="1"/>
      <c r="N2449" s="1"/>
      <c r="O2449" s="1"/>
      <c r="P2449" s="6"/>
      <c r="Q2449" s="1"/>
      <c r="R2449" s="1"/>
      <c r="S2449" s="1"/>
      <c r="T2449" s="1"/>
      <c r="U2449" s="1"/>
      <c r="V2449" s="1"/>
      <c r="W2449" s="1"/>
      <c r="X2449" s="1"/>
      <c r="Y2449" s="1"/>
      <c r="Z2449" s="1"/>
    </row>
    <row r="2450" customFormat="false" ht="21.75" hidden="false" customHeight="true" outlineLevel="0" collapsed="false">
      <c r="A2450" s="4" t="n">
        <v>43498</v>
      </c>
      <c r="B2450" s="61" t="s">
        <v>48</v>
      </c>
      <c r="C2450" s="46" t="s">
        <v>26</v>
      </c>
      <c r="D2450" s="46" t="s">
        <v>43</v>
      </c>
      <c r="E2450" s="46" t="s">
        <v>44</v>
      </c>
      <c r="F2450" s="46" t="s">
        <v>5707</v>
      </c>
      <c r="G2450" s="46" t="n">
        <f aca="false">+593979299711</f>
        <v>593979299711</v>
      </c>
      <c r="H2450" s="46" t="s">
        <v>5708</v>
      </c>
      <c r="I2450" s="46"/>
      <c r="J2450" s="1"/>
      <c r="K2450" s="1" t="s">
        <v>21</v>
      </c>
      <c r="L2450" s="1"/>
      <c r="M2450" s="1"/>
      <c r="N2450" s="1"/>
      <c r="O2450" s="1"/>
      <c r="P2450" s="6"/>
      <c r="Q2450" s="1"/>
      <c r="R2450" s="1"/>
      <c r="S2450" s="1"/>
      <c r="T2450" s="1"/>
      <c r="U2450" s="1"/>
      <c r="V2450" s="1"/>
      <c r="W2450" s="1"/>
      <c r="X2450" s="1"/>
      <c r="Y2450" s="1"/>
      <c r="Z2450" s="1"/>
    </row>
    <row r="2451" customFormat="false" ht="21.75" hidden="false" customHeight="true" outlineLevel="0" collapsed="false">
      <c r="A2451" s="4" t="n">
        <v>43498</v>
      </c>
      <c r="B2451" s="61" t="s">
        <v>127</v>
      </c>
      <c r="C2451" s="46" t="s">
        <v>15</v>
      </c>
      <c r="D2451" s="46" t="s">
        <v>43</v>
      </c>
      <c r="E2451" s="46" t="s">
        <v>44</v>
      </c>
      <c r="F2451" s="46" t="s">
        <v>5709</v>
      </c>
      <c r="G2451" s="46" t="n">
        <f aca="false">+5930985362536</f>
        <v>5930985362536</v>
      </c>
      <c r="H2451" s="46" t="s">
        <v>5710</v>
      </c>
      <c r="I2451" s="46"/>
      <c r="J2451" s="1"/>
      <c r="K2451" s="1" t="s">
        <v>21</v>
      </c>
      <c r="L2451" s="1"/>
      <c r="M2451" s="1"/>
      <c r="N2451" s="1"/>
      <c r="O2451" s="1"/>
      <c r="P2451" s="6"/>
      <c r="Q2451" s="1"/>
      <c r="R2451" s="1"/>
      <c r="S2451" s="1"/>
      <c r="T2451" s="1"/>
      <c r="U2451" s="1"/>
      <c r="V2451" s="1"/>
      <c r="W2451" s="1"/>
      <c r="X2451" s="1"/>
      <c r="Y2451" s="1"/>
      <c r="Z2451" s="1"/>
    </row>
    <row r="2452" customFormat="false" ht="21.75" hidden="false" customHeight="true" outlineLevel="0" collapsed="false">
      <c r="A2452" s="4" t="n">
        <v>43498</v>
      </c>
      <c r="B2452" s="61" t="s">
        <v>127</v>
      </c>
      <c r="C2452" s="46" t="s">
        <v>15</v>
      </c>
      <c r="D2452" s="46" t="s">
        <v>43</v>
      </c>
      <c r="E2452" s="46" t="s">
        <v>44</v>
      </c>
      <c r="F2452" s="46" t="s">
        <v>5711</v>
      </c>
      <c r="G2452" s="46" t="n">
        <f aca="false">+593997514635</f>
        <v>593997514635</v>
      </c>
      <c r="H2452" s="46" t="s">
        <v>5712</v>
      </c>
      <c r="I2452" s="46"/>
      <c r="J2452" s="1"/>
      <c r="K2452" s="2" t="s">
        <v>5713</v>
      </c>
      <c r="L2452" s="1"/>
      <c r="M2452" s="1"/>
      <c r="N2452" s="1"/>
      <c r="O2452" s="1"/>
      <c r="P2452" s="6"/>
      <c r="Q2452" s="1"/>
      <c r="R2452" s="1"/>
      <c r="S2452" s="1"/>
      <c r="T2452" s="1"/>
      <c r="U2452" s="1"/>
      <c r="V2452" s="1"/>
      <c r="W2452" s="1"/>
      <c r="X2452" s="1"/>
      <c r="Y2452" s="1"/>
      <c r="Z2452" s="1"/>
    </row>
    <row r="2453" customFormat="false" ht="21.75" hidden="false" customHeight="true" outlineLevel="0" collapsed="false">
      <c r="A2453" s="4" t="n">
        <v>43498</v>
      </c>
      <c r="B2453" s="61" t="s">
        <v>42</v>
      </c>
      <c r="C2453" s="46" t="s">
        <v>15</v>
      </c>
      <c r="D2453" s="46" t="s">
        <v>43</v>
      </c>
      <c r="E2453" s="46" t="s">
        <v>44</v>
      </c>
      <c r="F2453" s="46" t="s">
        <v>5714</v>
      </c>
      <c r="G2453" s="46" t="n">
        <f aca="false">+593997457870</f>
        <v>593997457870</v>
      </c>
      <c r="H2453" s="46" t="s">
        <v>5715</v>
      </c>
      <c r="I2453" s="46"/>
      <c r="J2453" s="1"/>
      <c r="K2453" s="1" t="s">
        <v>21</v>
      </c>
      <c r="L2453" s="1"/>
      <c r="M2453" s="1"/>
      <c r="N2453" s="1"/>
      <c r="O2453" s="1"/>
      <c r="P2453" s="6"/>
      <c r="Q2453" s="1"/>
      <c r="R2453" s="1"/>
      <c r="S2453" s="1"/>
      <c r="T2453" s="1"/>
      <c r="U2453" s="1"/>
      <c r="V2453" s="1"/>
      <c r="W2453" s="1"/>
      <c r="X2453" s="1"/>
      <c r="Y2453" s="1"/>
      <c r="Z2453" s="1"/>
    </row>
    <row r="2454" customFormat="false" ht="21.75" hidden="false" customHeight="true" outlineLevel="0" collapsed="false">
      <c r="A2454" s="4" t="n">
        <v>43498</v>
      </c>
      <c r="B2454" s="61" t="s">
        <v>42</v>
      </c>
      <c r="C2454" s="46" t="s">
        <v>15</v>
      </c>
      <c r="D2454" s="46" t="s">
        <v>43</v>
      </c>
      <c r="E2454" s="46" t="s">
        <v>44</v>
      </c>
      <c r="F2454" s="46" t="s">
        <v>5716</v>
      </c>
      <c r="G2454" s="46" t="n">
        <f aca="false">+593989820008</f>
        <v>593989820008</v>
      </c>
      <c r="H2454" s="46" t="s">
        <v>5717</v>
      </c>
      <c r="I2454" s="46"/>
      <c r="J2454" s="1"/>
      <c r="K2454" s="1" t="s">
        <v>21</v>
      </c>
      <c r="L2454" s="1"/>
      <c r="M2454" s="1"/>
      <c r="N2454" s="1"/>
      <c r="O2454" s="1"/>
      <c r="P2454" s="6"/>
      <c r="Q2454" s="1"/>
      <c r="R2454" s="1"/>
      <c r="S2454" s="1"/>
      <c r="T2454" s="1"/>
      <c r="U2454" s="1"/>
      <c r="V2454" s="1"/>
      <c r="W2454" s="1"/>
      <c r="X2454" s="1"/>
      <c r="Y2454" s="1"/>
      <c r="Z2454" s="1"/>
    </row>
    <row r="2455" customFormat="false" ht="21.75" hidden="false" customHeight="true" outlineLevel="0" collapsed="false">
      <c r="A2455" s="4" t="n">
        <v>43498</v>
      </c>
      <c r="B2455" s="61" t="s">
        <v>42</v>
      </c>
      <c r="C2455" s="46" t="s">
        <v>15</v>
      </c>
      <c r="D2455" s="46" t="s">
        <v>43</v>
      </c>
      <c r="E2455" s="46" t="s">
        <v>44</v>
      </c>
      <c r="F2455" s="46" t="s">
        <v>5718</v>
      </c>
      <c r="G2455" s="46" t="n">
        <f aca="false">+593984046404</f>
        <v>593984046404</v>
      </c>
      <c r="H2455" s="46" t="s">
        <v>5719</v>
      </c>
      <c r="I2455" s="46"/>
      <c r="J2455" s="1"/>
      <c r="K2455" s="1" t="s">
        <v>5720</v>
      </c>
      <c r="L2455" s="1"/>
      <c r="M2455" s="1"/>
      <c r="N2455" s="1"/>
      <c r="O2455" s="1"/>
      <c r="P2455" s="6"/>
      <c r="Q2455" s="1"/>
      <c r="R2455" s="1"/>
      <c r="S2455" s="1"/>
      <c r="T2455" s="1"/>
      <c r="U2455" s="1"/>
      <c r="V2455" s="1"/>
      <c r="W2455" s="1"/>
      <c r="X2455" s="1"/>
      <c r="Y2455" s="1"/>
      <c r="Z2455" s="1"/>
    </row>
    <row r="2456" customFormat="false" ht="21.75" hidden="false" customHeight="true" outlineLevel="0" collapsed="false">
      <c r="A2456" s="4" t="n">
        <v>43498</v>
      </c>
      <c r="B2456" s="61" t="s">
        <v>178</v>
      </c>
      <c r="C2456" s="46" t="s">
        <v>15</v>
      </c>
      <c r="D2456" s="46" t="s">
        <v>43</v>
      </c>
      <c r="E2456" s="46" t="s">
        <v>44</v>
      </c>
      <c r="F2456" s="46" t="s">
        <v>5721</v>
      </c>
      <c r="G2456" s="46" t="n">
        <f aca="false">+593982251511</f>
        <v>593982251511</v>
      </c>
      <c r="H2456" s="46" t="s">
        <v>5722</v>
      </c>
      <c r="I2456" s="46"/>
      <c r="J2456" s="1"/>
      <c r="K2456" s="1" t="s">
        <v>21</v>
      </c>
      <c r="L2456" s="1"/>
      <c r="M2456" s="1"/>
      <c r="N2456" s="1"/>
      <c r="O2456" s="1"/>
      <c r="P2456" s="6"/>
      <c r="Q2456" s="1"/>
      <c r="R2456" s="1"/>
      <c r="S2456" s="1"/>
      <c r="T2456" s="1"/>
      <c r="U2456" s="1"/>
      <c r="V2456" s="1"/>
      <c r="W2456" s="1"/>
      <c r="X2456" s="1"/>
      <c r="Y2456" s="1"/>
      <c r="Z2456" s="1"/>
    </row>
    <row r="2457" customFormat="false" ht="21.75" hidden="false" customHeight="true" outlineLevel="0" collapsed="false">
      <c r="A2457" s="4" t="n">
        <v>43498</v>
      </c>
      <c r="B2457" s="61" t="s">
        <v>178</v>
      </c>
      <c r="C2457" s="46" t="s">
        <v>15</v>
      </c>
      <c r="D2457" s="46" t="s">
        <v>43</v>
      </c>
      <c r="E2457" s="46" t="s">
        <v>44</v>
      </c>
      <c r="F2457" s="46" t="s">
        <v>5723</v>
      </c>
      <c r="G2457" s="46" t="n">
        <f aca="false">+5930987823058</f>
        <v>5930987823058</v>
      </c>
      <c r="H2457" s="46" t="s">
        <v>5724</v>
      </c>
      <c r="I2457" s="46"/>
      <c r="J2457" s="1"/>
      <c r="K2457" s="1" t="s">
        <v>2714</v>
      </c>
      <c r="L2457" s="1"/>
      <c r="M2457" s="1"/>
      <c r="N2457" s="1"/>
      <c r="O2457" s="1"/>
      <c r="P2457" s="6"/>
      <c r="Q2457" s="1"/>
      <c r="R2457" s="1"/>
      <c r="S2457" s="1"/>
      <c r="T2457" s="1"/>
      <c r="U2457" s="1"/>
      <c r="V2457" s="1"/>
      <c r="W2457" s="1"/>
      <c r="X2457" s="1"/>
      <c r="Y2457" s="1"/>
      <c r="Z2457" s="1"/>
    </row>
    <row r="2458" customFormat="false" ht="21.75" hidden="false" customHeight="true" outlineLevel="0" collapsed="false">
      <c r="A2458" s="4" t="n">
        <v>43498</v>
      </c>
      <c r="B2458" s="61" t="s">
        <v>178</v>
      </c>
      <c r="C2458" s="46" t="s">
        <v>15</v>
      </c>
      <c r="D2458" s="46" t="s">
        <v>43</v>
      </c>
      <c r="E2458" s="46" t="s">
        <v>44</v>
      </c>
      <c r="F2458" s="46" t="s">
        <v>5725</v>
      </c>
      <c r="G2458" s="46" t="n">
        <f aca="false">+5930992965993</f>
        <v>5930992965993</v>
      </c>
      <c r="H2458" s="46" t="s">
        <v>5726</v>
      </c>
      <c r="I2458" s="46"/>
      <c r="J2458" s="1"/>
      <c r="K2458" s="1" t="s">
        <v>21</v>
      </c>
      <c r="L2458" s="1"/>
      <c r="M2458" s="1"/>
      <c r="N2458" s="1"/>
      <c r="O2458" s="1"/>
      <c r="P2458" s="6"/>
      <c r="Q2458" s="1"/>
      <c r="R2458" s="1"/>
      <c r="S2458" s="1"/>
      <c r="T2458" s="1"/>
      <c r="U2458" s="1"/>
      <c r="V2458" s="1"/>
      <c r="W2458" s="1"/>
      <c r="X2458" s="1"/>
      <c r="Y2458" s="1"/>
      <c r="Z2458" s="1"/>
    </row>
    <row r="2459" customFormat="false" ht="21.75" hidden="false" customHeight="true" outlineLevel="0" collapsed="false">
      <c r="A2459" s="4" t="n">
        <v>43498</v>
      </c>
      <c r="B2459" s="61" t="s">
        <v>81</v>
      </c>
      <c r="C2459" s="46" t="s">
        <v>15</v>
      </c>
      <c r="D2459" s="46" t="s">
        <v>43</v>
      </c>
      <c r="E2459" s="46" t="s">
        <v>44</v>
      </c>
      <c r="F2459" s="46" t="s">
        <v>5727</v>
      </c>
      <c r="G2459" s="46" t="n">
        <f aca="false">+593939979928</f>
        <v>593939979928</v>
      </c>
      <c r="H2459" s="46" t="s">
        <v>5728</v>
      </c>
      <c r="I2459" s="46"/>
      <c r="J2459" s="1"/>
      <c r="K2459" s="1" t="s">
        <v>5729</v>
      </c>
      <c r="L2459" s="1"/>
      <c r="M2459" s="1"/>
      <c r="N2459" s="1"/>
      <c r="O2459" s="1"/>
      <c r="P2459" s="6"/>
      <c r="Q2459" s="1"/>
      <c r="R2459" s="1"/>
      <c r="S2459" s="1"/>
      <c r="T2459" s="1"/>
      <c r="U2459" s="1"/>
      <c r="V2459" s="1"/>
      <c r="W2459" s="1"/>
      <c r="X2459" s="1"/>
      <c r="Y2459" s="1"/>
      <c r="Z2459" s="1"/>
    </row>
    <row r="2460" customFormat="false" ht="21.75" hidden="false" customHeight="true" outlineLevel="0" collapsed="false">
      <c r="A2460" s="4" t="n">
        <v>43498</v>
      </c>
      <c r="B2460" s="61" t="s">
        <v>81</v>
      </c>
      <c r="C2460" s="46" t="s">
        <v>15</v>
      </c>
      <c r="D2460" s="46" t="s">
        <v>43</v>
      </c>
      <c r="E2460" s="46" t="s">
        <v>44</v>
      </c>
      <c r="F2460" s="46" t="s">
        <v>5730</v>
      </c>
      <c r="G2460" s="46" t="n">
        <f aca="false">+5930990430595</f>
        <v>5930990430595</v>
      </c>
      <c r="H2460" s="46" t="s">
        <v>5731</v>
      </c>
      <c r="I2460" s="46"/>
      <c r="J2460" s="1"/>
      <c r="K2460" s="2" t="s">
        <v>5732</v>
      </c>
      <c r="L2460" s="1"/>
      <c r="M2460" s="1"/>
      <c r="N2460" s="1"/>
      <c r="O2460" s="1"/>
      <c r="P2460" s="6"/>
      <c r="Q2460" s="1"/>
      <c r="R2460" s="1"/>
      <c r="S2460" s="1"/>
      <c r="T2460" s="1"/>
      <c r="U2460" s="1"/>
      <c r="V2460" s="1"/>
      <c r="W2460" s="1"/>
      <c r="X2460" s="1"/>
      <c r="Y2460" s="1"/>
      <c r="Z2460" s="1"/>
    </row>
    <row r="2461" customFormat="false" ht="21.75" hidden="false" customHeight="true" outlineLevel="0" collapsed="false">
      <c r="A2461" s="4" t="n">
        <v>43498</v>
      </c>
      <c r="B2461" s="61" t="s">
        <v>81</v>
      </c>
      <c r="C2461" s="46" t="s">
        <v>15</v>
      </c>
      <c r="D2461" s="46" t="s">
        <v>43</v>
      </c>
      <c r="E2461" s="46" t="s">
        <v>44</v>
      </c>
      <c r="F2461" s="46" t="s">
        <v>5733</v>
      </c>
      <c r="G2461" s="46" t="n">
        <f aca="false">+593989700241</f>
        <v>593989700241</v>
      </c>
      <c r="H2461" s="46" t="s">
        <v>5734</v>
      </c>
      <c r="I2461" s="46"/>
      <c r="J2461" s="1"/>
      <c r="K2461" s="1" t="s">
        <v>21</v>
      </c>
      <c r="L2461" s="1"/>
      <c r="M2461" s="1"/>
      <c r="N2461" s="1"/>
      <c r="O2461" s="1"/>
      <c r="P2461" s="6"/>
      <c r="Q2461" s="1"/>
      <c r="R2461" s="1"/>
      <c r="S2461" s="1"/>
      <c r="T2461" s="1"/>
      <c r="U2461" s="1"/>
      <c r="V2461" s="1"/>
      <c r="W2461" s="1"/>
      <c r="X2461" s="1"/>
      <c r="Y2461" s="1"/>
      <c r="Z2461" s="1"/>
    </row>
    <row r="2462" customFormat="false" ht="21.75" hidden="false" customHeight="true" outlineLevel="0" collapsed="false">
      <c r="A2462" s="4" t="n">
        <v>43498</v>
      </c>
      <c r="B2462" s="61" t="s">
        <v>166</v>
      </c>
      <c r="C2462" s="46" t="s">
        <v>15</v>
      </c>
      <c r="D2462" s="46" t="s">
        <v>16</v>
      </c>
      <c r="E2462" s="46" t="s">
        <v>17</v>
      </c>
      <c r="F2462" s="46" t="s">
        <v>5735</v>
      </c>
      <c r="G2462" s="46" t="n">
        <f aca="false">+593986780560</f>
        <v>593986780560</v>
      </c>
      <c r="H2462" s="46" t="s">
        <v>5736</v>
      </c>
      <c r="I2462" s="46"/>
      <c r="J2462" s="1"/>
      <c r="K2462" s="1" t="s">
        <v>3404</v>
      </c>
      <c r="L2462" s="1"/>
      <c r="M2462" s="1"/>
      <c r="N2462" s="1"/>
      <c r="O2462" s="1"/>
      <c r="P2462" s="6"/>
      <c r="Q2462" s="1"/>
      <c r="R2462" s="1"/>
      <c r="S2462" s="1"/>
      <c r="T2462" s="1"/>
      <c r="U2462" s="1"/>
      <c r="V2462" s="1"/>
      <c r="W2462" s="1"/>
      <c r="X2462" s="1"/>
      <c r="Y2462" s="1"/>
      <c r="Z2462" s="1"/>
    </row>
    <row r="2463" customFormat="false" ht="21.75" hidden="false" customHeight="true" outlineLevel="0" collapsed="false">
      <c r="A2463" s="4" t="n">
        <v>43498</v>
      </c>
      <c r="B2463" s="61" t="s">
        <v>86</v>
      </c>
      <c r="C2463" s="46" t="s">
        <v>15</v>
      </c>
      <c r="D2463" s="46" t="s">
        <v>16</v>
      </c>
      <c r="E2463" s="46" t="s">
        <v>17</v>
      </c>
      <c r="F2463" s="46" t="s">
        <v>5737</v>
      </c>
      <c r="G2463" s="46" t="n">
        <f aca="false">+593985882356</f>
        <v>593985882356</v>
      </c>
      <c r="H2463" s="46" t="s">
        <v>5738</v>
      </c>
      <c r="I2463" s="46"/>
      <c r="J2463" s="1"/>
      <c r="K2463" s="1" t="s">
        <v>3372</v>
      </c>
      <c r="L2463" s="1"/>
      <c r="M2463" s="1"/>
      <c r="N2463" s="1"/>
      <c r="O2463" s="1"/>
      <c r="P2463" s="6"/>
      <c r="Q2463" s="1"/>
      <c r="R2463" s="1"/>
      <c r="S2463" s="1"/>
      <c r="T2463" s="1"/>
      <c r="U2463" s="1"/>
      <c r="V2463" s="1"/>
      <c r="W2463" s="1"/>
      <c r="X2463" s="1"/>
      <c r="Y2463" s="1"/>
      <c r="Z2463" s="1"/>
    </row>
    <row r="2464" customFormat="false" ht="21.75" hidden="false" customHeight="true" outlineLevel="0" collapsed="false">
      <c r="A2464" s="4" t="n">
        <v>43498</v>
      </c>
      <c r="B2464" s="61" t="s">
        <v>86</v>
      </c>
      <c r="C2464" s="46" t="s">
        <v>15</v>
      </c>
      <c r="D2464" s="46" t="s">
        <v>16</v>
      </c>
      <c r="E2464" s="46" t="s">
        <v>17</v>
      </c>
      <c r="F2464" s="46" t="s">
        <v>2079</v>
      </c>
      <c r="G2464" s="46" t="n">
        <f aca="false">+593995467646</f>
        <v>593995467646</v>
      </c>
      <c r="H2464" s="46" t="s">
        <v>2080</v>
      </c>
      <c r="I2464" s="46"/>
      <c r="J2464" s="1"/>
      <c r="K2464" s="1" t="s">
        <v>5168</v>
      </c>
      <c r="L2464" s="1"/>
      <c r="M2464" s="1"/>
      <c r="N2464" s="1"/>
      <c r="O2464" s="1"/>
      <c r="P2464" s="6"/>
      <c r="Q2464" s="1"/>
      <c r="R2464" s="1"/>
      <c r="S2464" s="1"/>
      <c r="T2464" s="1"/>
      <c r="U2464" s="1"/>
      <c r="V2464" s="1"/>
      <c r="W2464" s="1"/>
      <c r="X2464" s="1"/>
      <c r="Y2464" s="1"/>
      <c r="Z2464" s="1"/>
    </row>
    <row r="2465" customFormat="false" ht="21.75" hidden="false" customHeight="true" outlineLevel="0" collapsed="false">
      <c r="A2465" s="4" t="n">
        <v>43498</v>
      </c>
      <c r="B2465" s="61" t="s">
        <v>86</v>
      </c>
      <c r="C2465" s="46" t="s">
        <v>15</v>
      </c>
      <c r="D2465" s="46" t="s">
        <v>16</v>
      </c>
      <c r="E2465" s="46" t="s">
        <v>17</v>
      </c>
      <c r="F2465" s="46" t="s">
        <v>5739</v>
      </c>
      <c r="G2465" s="46" t="n">
        <f aca="false">+593997342821</f>
        <v>593997342821</v>
      </c>
      <c r="H2465" s="46" t="s">
        <v>5740</v>
      </c>
      <c r="I2465" s="46"/>
      <c r="J2465" s="1"/>
      <c r="K2465" s="1" t="s">
        <v>5741</v>
      </c>
      <c r="L2465" s="1"/>
      <c r="M2465" s="1"/>
      <c r="N2465" s="1"/>
      <c r="O2465" s="1"/>
      <c r="P2465" s="6"/>
      <c r="Q2465" s="1"/>
      <c r="R2465" s="1"/>
      <c r="S2465" s="1"/>
      <c r="T2465" s="1"/>
      <c r="U2465" s="1"/>
      <c r="V2465" s="1"/>
      <c r="W2465" s="1"/>
      <c r="X2465" s="1"/>
      <c r="Y2465" s="1"/>
      <c r="Z2465" s="1"/>
    </row>
    <row r="2466" customFormat="false" ht="21.75" hidden="false" customHeight="true" outlineLevel="0" collapsed="false">
      <c r="A2466" s="4" t="n">
        <v>43498</v>
      </c>
      <c r="B2466" s="61" t="s">
        <v>911</v>
      </c>
      <c r="C2466" s="46" t="s">
        <v>15</v>
      </c>
      <c r="D2466" s="46" t="s">
        <v>16</v>
      </c>
      <c r="E2466" s="46" t="s">
        <v>17</v>
      </c>
      <c r="F2466" s="46" t="s">
        <v>5742</v>
      </c>
      <c r="G2466" s="46" t="n">
        <f aca="false">+593984591157</f>
        <v>593984591157</v>
      </c>
      <c r="H2466" s="46" t="s">
        <v>5743</v>
      </c>
      <c r="I2466" s="46"/>
      <c r="J2466" s="1"/>
      <c r="K2466" s="1" t="s">
        <v>3404</v>
      </c>
      <c r="L2466" s="1"/>
      <c r="M2466" s="1"/>
      <c r="N2466" s="1"/>
      <c r="O2466" s="1"/>
      <c r="P2466" s="6"/>
      <c r="Q2466" s="1"/>
      <c r="R2466" s="1"/>
      <c r="S2466" s="1"/>
      <c r="T2466" s="1"/>
      <c r="U2466" s="1"/>
      <c r="V2466" s="1"/>
      <c r="W2466" s="1"/>
      <c r="X2466" s="1"/>
      <c r="Y2466" s="1"/>
      <c r="Z2466" s="1"/>
    </row>
    <row r="2467" customFormat="false" ht="21.75" hidden="false" customHeight="true" outlineLevel="0" collapsed="false">
      <c r="A2467" s="4" t="n">
        <v>43498</v>
      </c>
      <c r="B2467" s="61" t="s">
        <v>14</v>
      </c>
      <c r="C2467" s="46" t="s">
        <v>15</v>
      </c>
      <c r="D2467" s="46" t="s">
        <v>16</v>
      </c>
      <c r="E2467" s="46" t="s">
        <v>17</v>
      </c>
      <c r="F2467" s="46" t="s">
        <v>5744</v>
      </c>
      <c r="G2467" s="46" t="n">
        <f aca="false">+593990491191</f>
        <v>593990491191</v>
      </c>
      <c r="H2467" s="46" t="s">
        <v>5745</v>
      </c>
      <c r="I2467" s="46"/>
      <c r="J2467" s="1"/>
      <c r="K2467" s="1" t="s">
        <v>21</v>
      </c>
      <c r="L2467" s="1"/>
      <c r="M2467" s="1"/>
      <c r="N2467" s="1"/>
      <c r="O2467" s="1"/>
      <c r="P2467" s="6"/>
      <c r="Q2467" s="1"/>
      <c r="R2467" s="1"/>
      <c r="S2467" s="1"/>
      <c r="T2467" s="1"/>
      <c r="U2467" s="1"/>
      <c r="V2467" s="1"/>
      <c r="W2467" s="1"/>
      <c r="X2467" s="1"/>
      <c r="Y2467" s="1"/>
      <c r="Z2467" s="1"/>
    </row>
    <row r="2468" customFormat="false" ht="21.75" hidden="false" customHeight="true" outlineLevel="0" collapsed="false">
      <c r="A2468" s="4" t="n">
        <v>43498</v>
      </c>
      <c r="B2468" s="61" t="s">
        <v>14</v>
      </c>
      <c r="C2468" s="46" t="s">
        <v>15</v>
      </c>
      <c r="D2468" s="46" t="s">
        <v>16</v>
      </c>
      <c r="E2468" s="46" t="s">
        <v>17</v>
      </c>
      <c r="F2468" s="46" t="s">
        <v>5746</v>
      </c>
      <c r="G2468" s="46" t="n">
        <f aca="false">+593939613507</f>
        <v>593939613507</v>
      </c>
      <c r="H2468" s="46" t="s">
        <v>5747</v>
      </c>
      <c r="I2468" s="46"/>
      <c r="J2468" s="1"/>
      <c r="K2468" s="1" t="s">
        <v>5748</v>
      </c>
      <c r="L2468" s="1"/>
      <c r="M2468" s="1"/>
      <c r="N2468" s="1"/>
      <c r="O2468" s="1"/>
      <c r="P2468" s="6"/>
      <c r="Q2468" s="1"/>
      <c r="R2468" s="1"/>
      <c r="S2468" s="1"/>
      <c r="T2468" s="1"/>
      <c r="U2468" s="1"/>
      <c r="V2468" s="1"/>
      <c r="W2468" s="1"/>
      <c r="X2468" s="1"/>
      <c r="Y2468" s="1"/>
      <c r="Z2468" s="1"/>
    </row>
    <row r="2469" customFormat="false" ht="21.75" hidden="false" customHeight="true" outlineLevel="0" collapsed="false">
      <c r="A2469" s="4" t="n">
        <v>43498</v>
      </c>
      <c r="B2469" s="61" t="s">
        <v>48</v>
      </c>
      <c r="C2469" s="46" t="s">
        <v>15</v>
      </c>
      <c r="D2469" s="46" t="s">
        <v>43</v>
      </c>
      <c r="E2469" s="46" t="s">
        <v>109</v>
      </c>
      <c r="F2469" s="50" t="s">
        <v>5749</v>
      </c>
      <c r="G2469" s="51" t="n">
        <v>986009278</v>
      </c>
      <c r="H2469" s="52" t="s">
        <v>5750</v>
      </c>
      <c r="I2469" s="52"/>
      <c r="J2469" s="1"/>
      <c r="K2469" s="1" t="s">
        <v>5751</v>
      </c>
      <c r="L2469" s="1"/>
      <c r="M2469" s="1"/>
      <c r="N2469" s="1"/>
      <c r="O2469" s="1"/>
      <c r="P2469" s="6"/>
      <c r="Q2469" s="1"/>
      <c r="R2469" s="1"/>
      <c r="S2469" s="1"/>
      <c r="T2469" s="1"/>
      <c r="U2469" s="1"/>
      <c r="V2469" s="1"/>
      <c r="W2469" s="1"/>
      <c r="X2469" s="1"/>
      <c r="Y2469" s="1"/>
      <c r="Z2469" s="1"/>
    </row>
    <row r="2470" customFormat="false" ht="21.75" hidden="false" customHeight="true" outlineLevel="0" collapsed="false">
      <c r="A2470" s="4" t="n">
        <v>43498</v>
      </c>
      <c r="B2470" s="61" t="s">
        <v>1831</v>
      </c>
      <c r="C2470" s="46" t="s">
        <v>15</v>
      </c>
      <c r="D2470" s="46" t="s">
        <v>43</v>
      </c>
      <c r="E2470" s="46" t="s">
        <v>109</v>
      </c>
      <c r="F2470" s="50" t="s">
        <v>5752</v>
      </c>
      <c r="G2470" s="51" t="n">
        <v>980310613</v>
      </c>
      <c r="H2470" s="52" t="s">
        <v>5753</v>
      </c>
      <c r="I2470" s="52"/>
      <c r="J2470" s="1"/>
      <c r="K2470" s="1" t="s">
        <v>5754</v>
      </c>
      <c r="L2470" s="1"/>
      <c r="M2470" s="1"/>
      <c r="N2470" s="1"/>
      <c r="O2470" s="1"/>
      <c r="P2470" s="6"/>
      <c r="Q2470" s="1"/>
      <c r="R2470" s="1"/>
      <c r="S2470" s="1"/>
      <c r="T2470" s="1"/>
      <c r="U2470" s="1"/>
      <c r="V2470" s="1"/>
      <c r="W2470" s="1"/>
      <c r="X2470" s="1"/>
      <c r="Y2470" s="1"/>
      <c r="Z2470" s="1"/>
    </row>
    <row r="2471" customFormat="false" ht="21.75" hidden="false" customHeight="true" outlineLevel="0" collapsed="false">
      <c r="A2471" s="4" t="n">
        <v>43498</v>
      </c>
      <c r="B2471" s="61" t="s">
        <v>48</v>
      </c>
      <c r="C2471" s="46" t="s">
        <v>15</v>
      </c>
      <c r="D2471" s="46" t="s">
        <v>43</v>
      </c>
      <c r="E2471" s="46" t="s">
        <v>44</v>
      </c>
      <c r="F2471" s="50" t="s">
        <v>5755</v>
      </c>
      <c r="G2471" s="51" t="n">
        <v>997261711</v>
      </c>
      <c r="H2471" s="52" t="s">
        <v>5756</v>
      </c>
      <c r="I2471" s="52"/>
      <c r="J2471" s="1"/>
      <c r="K2471" s="1" t="s">
        <v>21</v>
      </c>
      <c r="L2471" s="1"/>
      <c r="M2471" s="1"/>
      <c r="N2471" s="1"/>
      <c r="O2471" s="1"/>
      <c r="P2471" s="6"/>
      <c r="Q2471" s="1"/>
      <c r="R2471" s="1"/>
      <c r="S2471" s="1"/>
      <c r="T2471" s="1"/>
      <c r="U2471" s="1"/>
      <c r="V2471" s="1"/>
      <c r="W2471" s="1"/>
      <c r="X2471" s="1"/>
      <c r="Y2471" s="1"/>
      <c r="Z2471" s="1"/>
    </row>
    <row r="2472" customFormat="false" ht="21.75" hidden="false" customHeight="true" outlineLevel="0" collapsed="false">
      <c r="A2472" s="4" t="n">
        <v>43498</v>
      </c>
      <c r="B2472" s="61" t="s">
        <v>1831</v>
      </c>
      <c r="C2472" s="46" t="s">
        <v>15</v>
      </c>
      <c r="D2472" s="46" t="s">
        <v>43</v>
      </c>
      <c r="E2472" s="46" t="s">
        <v>109</v>
      </c>
      <c r="F2472" s="50" t="s">
        <v>5757</v>
      </c>
      <c r="G2472" s="51" t="n">
        <v>961152344</v>
      </c>
      <c r="H2472" s="52" t="s">
        <v>5758</v>
      </c>
      <c r="I2472" s="52"/>
      <c r="J2472" s="1"/>
      <c r="K2472" s="1" t="s">
        <v>21</v>
      </c>
      <c r="L2472" s="1"/>
      <c r="M2472" s="1"/>
      <c r="N2472" s="1"/>
      <c r="O2472" s="1"/>
      <c r="P2472" s="6"/>
      <c r="Q2472" s="1"/>
      <c r="R2472" s="1"/>
      <c r="S2472" s="1"/>
      <c r="T2472" s="1"/>
      <c r="U2472" s="1"/>
      <c r="V2472" s="1"/>
      <c r="W2472" s="1"/>
      <c r="X2472" s="1"/>
      <c r="Y2472" s="1"/>
      <c r="Z2472" s="1"/>
    </row>
    <row r="2473" customFormat="false" ht="21.75" hidden="false" customHeight="true" outlineLevel="0" collapsed="false">
      <c r="A2473" s="4" t="n">
        <v>43498</v>
      </c>
      <c r="B2473" s="61" t="s">
        <v>48</v>
      </c>
      <c r="C2473" s="46" t="s">
        <v>15</v>
      </c>
      <c r="D2473" s="46" t="s">
        <v>43</v>
      </c>
      <c r="E2473" s="46" t="s">
        <v>109</v>
      </c>
      <c r="F2473" s="50" t="s">
        <v>4401</v>
      </c>
      <c r="G2473" s="51" t="n">
        <v>939365697</v>
      </c>
      <c r="H2473" s="52" t="s">
        <v>4402</v>
      </c>
      <c r="I2473" s="52"/>
      <c r="J2473" s="1"/>
      <c r="K2473" s="1" t="s">
        <v>21</v>
      </c>
      <c r="L2473" s="1"/>
      <c r="M2473" s="1"/>
      <c r="N2473" s="1"/>
      <c r="O2473" s="1"/>
      <c r="P2473" s="6"/>
      <c r="Q2473" s="1"/>
      <c r="R2473" s="1"/>
      <c r="S2473" s="1"/>
      <c r="T2473" s="1"/>
      <c r="U2473" s="1"/>
      <c r="V2473" s="1"/>
      <c r="W2473" s="1"/>
      <c r="X2473" s="1"/>
      <c r="Y2473" s="1"/>
      <c r="Z2473" s="1"/>
    </row>
    <row r="2474" customFormat="false" ht="21.75" hidden="false" customHeight="true" outlineLevel="0" collapsed="false">
      <c r="A2474" s="4" t="n">
        <v>43498</v>
      </c>
      <c r="B2474" s="61" t="s">
        <v>1478</v>
      </c>
      <c r="C2474" s="46" t="s">
        <v>15</v>
      </c>
      <c r="D2474" s="46" t="s">
        <v>43</v>
      </c>
      <c r="E2474" s="46" t="s">
        <v>109</v>
      </c>
      <c r="F2474" s="52" t="s">
        <v>5759</v>
      </c>
      <c r="G2474" s="51" t="n">
        <v>993415488</v>
      </c>
      <c r="H2474" s="52" t="s">
        <v>5760</v>
      </c>
      <c r="I2474" s="52"/>
      <c r="J2474" s="1"/>
      <c r="K2474" s="1" t="s">
        <v>21</v>
      </c>
      <c r="L2474" s="1"/>
      <c r="M2474" s="1"/>
      <c r="N2474" s="1"/>
      <c r="O2474" s="1"/>
      <c r="P2474" s="6"/>
      <c r="Q2474" s="1"/>
      <c r="R2474" s="1"/>
      <c r="S2474" s="1"/>
      <c r="T2474" s="1"/>
      <c r="U2474" s="1"/>
      <c r="V2474" s="1"/>
      <c r="W2474" s="1"/>
      <c r="X2474" s="1"/>
      <c r="Y2474" s="1"/>
      <c r="Z2474" s="1"/>
    </row>
    <row r="2475" customFormat="false" ht="21.75" hidden="false" customHeight="true" outlineLevel="0" collapsed="false">
      <c r="A2475" s="4" t="n">
        <v>43498</v>
      </c>
      <c r="B2475" s="61" t="s">
        <v>1114</v>
      </c>
      <c r="C2475" s="46" t="s">
        <v>15</v>
      </c>
      <c r="D2475" s="46" t="s">
        <v>43</v>
      </c>
      <c r="E2475" s="46" t="s">
        <v>109</v>
      </c>
      <c r="F2475" s="50" t="s">
        <v>5761</v>
      </c>
      <c r="G2475" s="53"/>
      <c r="H2475" s="52" t="s">
        <v>5762</v>
      </c>
      <c r="I2475" s="52"/>
      <c r="J2475" s="1"/>
      <c r="K2475" s="1" t="s">
        <v>5763</v>
      </c>
      <c r="L2475" s="1"/>
      <c r="M2475" s="1"/>
      <c r="N2475" s="1"/>
      <c r="O2475" s="1"/>
      <c r="P2475" s="6"/>
      <c r="Q2475" s="1"/>
      <c r="R2475" s="1"/>
      <c r="S2475" s="1"/>
      <c r="T2475" s="1"/>
      <c r="U2475" s="1"/>
      <c r="V2475" s="1"/>
      <c r="W2475" s="1"/>
      <c r="X2475" s="1"/>
      <c r="Y2475" s="1"/>
      <c r="Z2475" s="1"/>
    </row>
    <row r="2476" customFormat="false" ht="21.75" hidden="false" customHeight="true" outlineLevel="0" collapsed="false">
      <c r="A2476" s="4" t="n">
        <v>43498</v>
      </c>
      <c r="B2476" s="61" t="s">
        <v>352</v>
      </c>
      <c r="C2476" s="46" t="s">
        <v>15</v>
      </c>
      <c r="D2476" s="46" t="s">
        <v>43</v>
      </c>
      <c r="E2476" s="46" t="s">
        <v>109</v>
      </c>
      <c r="F2476" s="50" t="s">
        <v>5764</v>
      </c>
      <c r="G2476" s="51" t="n">
        <v>979205533</v>
      </c>
      <c r="H2476" s="52" t="s">
        <v>5765</v>
      </c>
      <c r="I2476" s="52"/>
      <c r="J2476" s="1"/>
      <c r="K2476" s="1" t="s">
        <v>5766</v>
      </c>
      <c r="L2476" s="1"/>
      <c r="M2476" s="1"/>
      <c r="N2476" s="1"/>
      <c r="O2476" s="1"/>
      <c r="P2476" s="6"/>
      <c r="Q2476" s="1"/>
      <c r="R2476" s="1"/>
      <c r="S2476" s="1"/>
      <c r="T2476" s="1"/>
      <c r="U2476" s="1"/>
      <c r="V2476" s="1"/>
      <c r="W2476" s="1"/>
      <c r="X2476" s="1"/>
      <c r="Y2476" s="1"/>
      <c r="Z2476" s="1"/>
    </row>
    <row r="2477" customFormat="false" ht="21.75" hidden="false" customHeight="true" outlineLevel="0" collapsed="false">
      <c r="A2477" s="4" t="n">
        <v>43498</v>
      </c>
      <c r="B2477" s="61" t="s">
        <v>14</v>
      </c>
      <c r="C2477" s="46" t="s">
        <v>15</v>
      </c>
      <c r="D2477" s="46" t="s">
        <v>16</v>
      </c>
      <c r="E2477" s="46" t="s">
        <v>17</v>
      </c>
      <c r="F2477" s="50" t="s">
        <v>5767</v>
      </c>
      <c r="G2477" s="51" t="n">
        <v>958981010</v>
      </c>
      <c r="H2477" s="52" t="s">
        <v>5768</v>
      </c>
      <c r="I2477" s="52"/>
      <c r="J2477" s="1"/>
      <c r="K2477" s="1" t="s">
        <v>21</v>
      </c>
      <c r="L2477" s="1"/>
      <c r="M2477" s="1"/>
      <c r="N2477" s="1"/>
      <c r="O2477" s="1"/>
      <c r="P2477" s="6"/>
      <c r="Q2477" s="1"/>
      <c r="R2477" s="1"/>
      <c r="S2477" s="1"/>
      <c r="T2477" s="1"/>
      <c r="U2477" s="1"/>
      <c r="V2477" s="1"/>
      <c r="W2477" s="1"/>
      <c r="X2477" s="1"/>
      <c r="Y2477" s="1"/>
      <c r="Z2477" s="1"/>
    </row>
    <row r="2478" customFormat="false" ht="21.75" hidden="false" customHeight="true" outlineLevel="0" collapsed="false">
      <c r="A2478" s="4" t="n">
        <v>43498</v>
      </c>
      <c r="B2478" s="61" t="s">
        <v>48</v>
      </c>
      <c r="C2478" s="46" t="s">
        <v>15</v>
      </c>
      <c r="D2478" s="46" t="s">
        <v>43</v>
      </c>
      <c r="E2478" s="46" t="s">
        <v>44</v>
      </c>
      <c r="F2478" s="50" t="s">
        <v>5769</v>
      </c>
      <c r="G2478" s="51" t="n">
        <v>981725023</v>
      </c>
      <c r="H2478" s="52" t="s">
        <v>5770</v>
      </c>
      <c r="I2478" s="52"/>
      <c r="J2478" s="1"/>
      <c r="K2478" s="1" t="s">
        <v>21</v>
      </c>
      <c r="L2478" s="1"/>
      <c r="M2478" s="1"/>
      <c r="N2478" s="1"/>
      <c r="O2478" s="1"/>
      <c r="P2478" s="6"/>
      <c r="Q2478" s="1"/>
      <c r="R2478" s="1"/>
      <c r="S2478" s="1"/>
      <c r="T2478" s="1"/>
      <c r="U2478" s="1"/>
      <c r="V2478" s="1"/>
      <c r="W2478" s="1"/>
      <c r="X2478" s="1"/>
      <c r="Y2478" s="1"/>
      <c r="Z2478" s="1"/>
    </row>
    <row r="2479" customFormat="false" ht="21.75" hidden="false" customHeight="true" outlineLevel="0" collapsed="false">
      <c r="A2479" s="4" t="n">
        <v>43498</v>
      </c>
      <c r="B2479" s="61" t="s">
        <v>48</v>
      </c>
      <c r="C2479" s="46" t="s">
        <v>15</v>
      </c>
      <c r="D2479" s="46" t="s">
        <v>43</v>
      </c>
      <c r="E2479" s="46" t="s">
        <v>109</v>
      </c>
      <c r="F2479" s="50" t="s">
        <v>5771</v>
      </c>
      <c r="G2479" s="51" t="n">
        <v>968053197</v>
      </c>
      <c r="H2479" s="53" t="s">
        <v>5772</v>
      </c>
      <c r="I2479" s="53"/>
      <c r="J2479" s="1"/>
      <c r="K2479" s="1" t="s">
        <v>5773</v>
      </c>
      <c r="L2479" s="1"/>
      <c r="M2479" s="1"/>
      <c r="N2479" s="1"/>
      <c r="O2479" s="1"/>
      <c r="P2479" s="6"/>
      <c r="Q2479" s="1"/>
      <c r="R2479" s="1"/>
      <c r="S2479" s="1"/>
      <c r="T2479" s="1"/>
      <c r="U2479" s="1"/>
      <c r="V2479" s="1"/>
      <c r="W2479" s="1"/>
      <c r="X2479" s="1"/>
      <c r="Y2479" s="1"/>
      <c r="Z2479" s="1"/>
    </row>
    <row r="2480" customFormat="false" ht="21.75" hidden="false" customHeight="true" outlineLevel="0" collapsed="false">
      <c r="A2480" s="4" t="n">
        <v>43500</v>
      </c>
      <c r="B2480" s="53" t="s">
        <v>415</v>
      </c>
      <c r="C2480" s="55" t="s">
        <v>15</v>
      </c>
      <c r="D2480" s="55" t="s">
        <v>43</v>
      </c>
      <c r="E2480" s="55" t="s">
        <v>44</v>
      </c>
      <c r="F2480" s="50" t="s">
        <v>5774</v>
      </c>
      <c r="G2480" s="51" t="n">
        <v>997469852</v>
      </c>
      <c r="H2480" s="53"/>
      <c r="I2480" s="53"/>
      <c r="J2480" s="1"/>
      <c r="K2480" s="1" t="s">
        <v>5775</v>
      </c>
      <c r="L2480" s="1"/>
      <c r="M2480" s="1"/>
      <c r="N2480" s="1"/>
      <c r="O2480" s="1"/>
      <c r="P2480" s="6"/>
      <c r="Q2480" s="1"/>
      <c r="R2480" s="1"/>
      <c r="S2480" s="1"/>
      <c r="T2480" s="1"/>
      <c r="U2480" s="1"/>
      <c r="V2480" s="1"/>
      <c r="W2480" s="1"/>
      <c r="X2480" s="1"/>
      <c r="Y2480" s="1"/>
      <c r="Z2480" s="1"/>
    </row>
    <row r="2481" customFormat="false" ht="21.75" hidden="false" customHeight="true" outlineLevel="0" collapsed="false">
      <c r="A2481" s="4" t="n">
        <v>43500</v>
      </c>
      <c r="B2481" s="46" t="s">
        <v>352</v>
      </c>
      <c r="C2481" s="46" t="s">
        <v>15</v>
      </c>
      <c r="D2481" s="55" t="s">
        <v>43</v>
      </c>
      <c r="E2481" s="55" t="s">
        <v>883</v>
      </c>
      <c r="F2481" s="46" t="s">
        <v>5776</v>
      </c>
      <c r="G2481" s="46" t="n">
        <f aca="false">+593983902082</f>
        <v>593983902082</v>
      </c>
      <c r="H2481" s="46" t="s">
        <v>5777</v>
      </c>
      <c r="I2481" s="46"/>
      <c r="J2481" s="1"/>
      <c r="K2481" s="1" t="s">
        <v>21</v>
      </c>
      <c r="L2481" s="1"/>
      <c r="M2481" s="1"/>
      <c r="N2481" s="1"/>
      <c r="O2481" s="1"/>
      <c r="P2481" s="6"/>
      <c r="Q2481" s="1"/>
      <c r="R2481" s="1"/>
      <c r="S2481" s="1"/>
      <c r="T2481" s="1"/>
      <c r="U2481" s="1"/>
      <c r="V2481" s="1"/>
      <c r="W2481" s="1"/>
      <c r="X2481" s="1"/>
      <c r="Y2481" s="1"/>
      <c r="Z2481" s="1"/>
    </row>
    <row r="2482" customFormat="false" ht="21.75" hidden="false" customHeight="true" outlineLevel="0" collapsed="false">
      <c r="A2482" s="4" t="n">
        <v>43500</v>
      </c>
      <c r="B2482" s="46" t="s">
        <v>48</v>
      </c>
      <c r="C2482" s="46" t="s">
        <v>15</v>
      </c>
      <c r="D2482" s="55" t="s">
        <v>43</v>
      </c>
      <c r="E2482" s="55" t="s">
        <v>883</v>
      </c>
      <c r="F2482" s="46" t="s">
        <v>5778</v>
      </c>
      <c r="G2482" s="46" t="n">
        <f aca="false">+5930992582022</f>
        <v>5930992582022</v>
      </c>
      <c r="H2482" s="46" t="s">
        <v>5779</v>
      </c>
      <c r="I2482" s="46"/>
      <c r="J2482" s="1"/>
      <c r="K2482" s="1" t="s">
        <v>21</v>
      </c>
      <c r="L2482" s="1"/>
      <c r="M2482" s="1"/>
      <c r="N2482" s="1"/>
      <c r="O2482" s="1"/>
      <c r="P2482" s="6"/>
      <c r="Q2482" s="1"/>
      <c r="R2482" s="1"/>
      <c r="S2482" s="1"/>
      <c r="T2482" s="1"/>
      <c r="U2482" s="1"/>
      <c r="V2482" s="1"/>
      <c r="W2482" s="1"/>
      <c r="X2482" s="1"/>
      <c r="Y2482" s="1"/>
      <c r="Z2482" s="1"/>
    </row>
    <row r="2483" customFormat="false" ht="21.75" hidden="false" customHeight="true" outlineLevel="0" collapsed="false">
      <c r="A2483" s="4" t="n">
        <v>43500</v>
      </c>
      <c r="B2483" s="46" t="s">
        <v>352</v>
      </c>
      <c r="C2483" s="46" t="s">
        <v>15</v>
      </c>
      <c r="D2483" s="55" t="s">
        <v>43</v>
      </c>
      <c r="E2483" s="55" t="s">
        <v>883</v>
      </c>
      <c r="F2483" s="46" t="s">
        <v>5780</v>
      </c>
      <c r="G2483" s="46" t="n">
        <f aca="false">+593996864244</f>
        <v>593996864244</v>
      </c>
      <c r="H2483" s="46" t="s">
        <v>5781</v>
      </c>
      <c r="I2483" s="46"/>
      <c r="J2483" s="1"/>
      <c r="K2483" s="1" t="s">
        <v>21</v>
      </c>
      <c r="L2483" s="1"/>
      <c r="M2483" s="1"/>
      <c r="N2483" s="1"/>
      <c r="O2483" s="1"/>
      <c r="P2483" s="6"/>
      <c r="Q2483" s="1"/>
      <c r="R2483" s="1"/>
      <c r="S2483" s="1"/>
      <c r="T2483" s="1"/>
      <c r="U2483" s="1"/>
      <c r="V2483" s="1"/>
      <c r="W2483" s="1"/>
      <c r="X2483" s="1"/>
      <c r="Y2483" s="1"/>
      <c r="Z2483" s="1"/>
    </row>
    <row r="2484" customFormat="false" ht="21.75" hidden="false" customHeight="true" outlineLevel="0" collapsed="false">
      <c r="A2484" s="4" t="n">
        <v>43500</v>
      </c>
      <c r="B2484" s="46" t="s">
        <v>1114</v>
      </c>
      <c r="C2484" s="46" t="s">
        <v>15</v>
      </c>
      <c r="D2484" s="55" t="s">
        <v>43</v>
      </c>
      <c r="E2484" s="55" t="s">
        <v>883</v>
      </c>
      <c r="F2484" s="46" t="s">
        <v>5782</v>
      </c>
      <c r="G2484" s="46" t="n">
        <f aca="false">+593959963997</f>
        <v>593959963997</v>
      </c>
      <c r="H2484" s="46" t="s">
        <v>5783</v>
      </c>
      <c r="I2484" s="46"/>
      <c r="J2484" s="1"/>
      <c r="K2484" s="1" t="s">
        <v>21</v>
      </c>
      <c r="L2484" s="1"/>
      <c r="M2484" s="1"/>
      <c r="N2484" s="1"/>
      <c r="O2484" s="1"/>
      <c r="P2484" s="6"/>
      <c r="Q2484" s="1"/>
      <c r="R2484" s="1"/>
      <c r="S2484" s="1"/>
      <c r="T2484" s="1"/>
      <c r="U2484" s="1"/>
      <c r="V2484" s="1"/>
      <c r="W2484" s="1"/>
      <c r="X2484" s="1"/>
      <c r="Y2484" s="1"/>
      <c r="Z2484" s="1"/>
    </row>
    <row r="2485" customFormat="false" ht="21.75" hidden="false" customHeight="true" outlineLevel="0" collapsed="false">
      <c r="A2485" s="4" t="n">
        <v>43500</v>
      </c>
      <c r="B2485" s="46" t="s">
        <v>352</v>
      </c>
      <c r="C2485" s="46" t="s">
        <v>26</v>
      </c>
      <c r="D2485" s="55" t="s">
        <v>43</v>
      </c>
      <c r="E2485" s="55" t="s">
        <v>883</v>
      </c>
      <c r="F2485" s="46" t="s">
        <v>5784</v>
      </c>
      <c r="G2485" s="46" t="n">
        <f aca="false">+593981515684</f>
        <v>593981515684</v>
      </c>
      <c r="H2485" s="46" t="s">
        <v>5785</v>
      </c>
      <c r="I2485" s="46"/>
      <c r="J2485" s="1"/>
      <c r="K2485" s="1" t="s">
        <v>5786</v>
      </c>
      <c r="L2485" s="1"/>
      <c r="M2485" s="1"/>
      <c r="N2485" s="1"/>
      <c r="O2485" s="1"/>
      <c r="P2485" s="6"/>
      <c r="Q2485" s="1"/>
      <c r="R2485" s="1"/>
      <c r="S2485" s="1"/>
      <c r="T2485" s="1"/>
      <c r="U2485" s="1"/>
      <c r="V2485" s="1"/>
      <c r="W2485" s="1"/>
      <c r="X2485" s="1"/>
      <c r="Y2485" s="1"/>
      <c r="Z2485" s="1"/>
    </row>
    <row r="2486" customFormat="false" ht="21.75" hidden="false" customHeight="true" outlineLevel="0" collapsed="false">
      <c r="A2486" s="4" t="n">
        <v>43500</v>
      </c>
      <c r="B2486" s="46" t="s">
        <v>48</v>
      </c>
      <c r="C2486" s="46" t="s">
        <v>26</v>
      </c>
      <c r="D2486" s="55" t="s">
        <v>43</v>
      </c>
      <c r="E2486" s="55" t="s">
        <v>883</v>
      </c>
      <c r="F2486" s="46" t="s">
        <v>5787</v>
      </c>
      <c r="G2486" s="46" t="n">
        <f aca="false">+593983821229</f>
        <v>593983821229</v>
      </c>
      <c r="H2486" s="46" t="s">
        <v>5788</v>
      </c>
      <c r="I2486" s="46"/>
      <c r="J2486" s="1"/>
      <c r="K2486" s="1" t="s">
        <v>21</v>
      </c>
      <c r="L2486" s="1"/>
      <c r="M2486" s="1"/>
      <c r="N2486" s="1"/>
      <c r="O2486" s="1"/>
      <c r="P2486" s="6"/>
      <c r="Q2486" s="1"/>
      <c r="R2486" s="1"/>
      <c r="S2486" s="1"/>
      <c r="T2486" s="1"/>
      <c r="U2486" s="1"/>
      <c r="V2486" s="1"/>
      <c r="W2486" s="1"/>
      <c r="X2486" s="1"/>
      <c r="Y2486" s="1"/>
      <c r="Z2486" s="1"/>
    </row>
    <row r="2487" customFormat="false" ht="21.75" hidden="false" customHeight="true" outlineLevel="0" collapsed="false">
      <c r="A2487" s="4" t="n">
        <v>43500</v>
      </c>
      <c r="B2487" s="46" t="s">
        <v>48</v>
      </c>
      <c r="C2487" s="46" t="s">
        <v>15</v>
      </c>
      <c r="D2487" s="55" t="s">
        <v>43</v>
      </c>
      <c r="E2487" s="55" t="s">
        <v>883</v>
      </c>
      <c r="F2487" s="46" t="s">
        <v>5789</v>
      </c>
      <c r="G2487" s="46" t="n">
        <f aca="false">+593981654691</f>
        <v>593981654691</v>
      </c>
      <c r="H2487" s="46" t="s">
        <v>5790</v>
      </c>
      <c r="I2487" s="46"/>
      <c r="J2487" s="1"/>
      <c r="K2487" s="1" t="s">
        <v>21</v>
      </c>
      <c r="L2487" s="1"/>
      <c r="M2487" s="1"/>
      <c r="N2487" s="1"/>
      <c r="O2487" s="1"/>
      <c r="P2487" s="6"/>
      <c r="Q2487" s="1"/>
      <c r="R2487" s="1"/>
      <c r="S2487" s="1"/>
      <c r="T2487" s="1"/>
      <c r="U2487" s="1"/>
      <c r="V2487" s="1"/>
      <c r="W2487" s="1"/>
      <c r="X2487" s="1"/>
      <c r="Y2487" s="1"/>
      <c r="Z2487" s="1"/>
    </row>
    <row r="2488" customFormat="false" ht="21.75" hidden="false" customHeight="true" outlineLevel="0" collapsed="false">
      <c r="A2488" s="4" t="n">
        <v>43500</v>
      </c>
      <c r="B2488" s="46" t="s">
        <v>127</v>
      </c>
      <c r="C2488" s="46" t="s">
        <v>26</v>
      </c>
      <c r="D2488" s="55" t="s">
        <v>43</v>
      </c>
      <c r="E2488" s="55" t="s">
        <v>883</v>
      </c>
      <c r="F2488" s="46" t="s">
        <v>5791</v>
      </c>
      <c r="G2488" s="46" t="n">
        <f aca="false">+593984998430</f>
        <v>593984998430</v>
      </c>
      <c r="H2488" s="46" t="s">
        <v>5792</v>
      </c>
      <c r="I2488" s="46"/>
      <c r="J2488" s="1"/>
      <c r="K2488" s="1" t="s">
        <v>5793</v>
      </c>
      <c r="L2488" s="1"/>
      <c r="M2488" s="1"/>
      <c r="N2488" s="1"/>
      <c r="O2488" s="1"/>
      <c r="P2488" s="6"/>
      <c r="Q2488" s="1"/>
      <c r="R2488" s="1"/>
      <c r="S2488" s="1"/>
      <c r="T2488" s="1"/>
      <c r="U2488" s="1"/>
      <c r="V2488" s="1"/>
      <c r="W2488" s="1"/>
      <c r="X2488" s="1"/>
      <c r="Y2488" s="1"/>
      <c r="Z2488" s="1"/>
    </row>
    <row r="2489" customFormat="false" ht="21.75" hidden="false" customHeight="true" outlineLevel="0" collapsed="false">
      <c r="A2489" s="4" t="n">
        <v>43500</v>
      </c>
      <c r="B2489" s="46" t="s">
        <v>48</v>
      </c>
      <c r="C2489" s="46" t="s">
        <v>15</v>
      </c>
      <c r="D2489" s="55" t="s">
        <v>43</v>
      </c>
      <c r="E2489" s="55" t="s">
        <v>883</v>
      </c>
      <c r="F2489" s="46" t="s">
        <v>5794</v>
      </c>
      <c r="G2489" s="46" t="n">
        <f aca="false">+593990854011</f>
        <v>593990854011</v>
      </c>
      <c r="H2489" s="46" t="s">
        <v>5795</v>
      </c>
      <c r="I2489" s="46"/>
      <c r="J2489" s="1"/>
      <c r="K2489" s="1" t="s">
        <v>21</v>
      </c>
      <c r="L2489" s="1"/>
      <c r="M2489" s="1"/>
      <c r="N2489" s="1"/>
      <c r="O2489" s="1"/>
      <c r="P2489" s="6"/>
      <c r="Q2489" s="1"/>
      <c r="R2489" s="1"/>
      <c r="S2489" s="1"/>
      <c r="T2489" s="1"/>
      <c r="U2489" s="1"/>
      <c r="V2489" s="1"/>
      <c r="W2489" s="1"/>
      <c r="X2489" s="1"/>
      <c r="Y2489" s="1"/>
      <c r="Z2489" s="1"/>
    </row>
    <row r="2490" customFormat="false" ht="21.75" hidden="false" customHeight="true" outlineLevel="0" collapsed="false">
      <c r="A2490" s="4" t="n">
        <v>43500</v>
      </c>
      <c r="B2490" s="46" t="s">
        <v>352</v>
      </c>
      <c r="C2490" s="46" t="s">
        <v>15</v>
      </c>
      <c r="D2490" s="55" t="s">
        <v>43</v>
      </c>
      <c r="E2490" s="55" t="s">
        <v>883</v>
      </c>
      <c r="F2490" s="46" t="s">
        <v>5796</v>
      </c>
      <c r="G2490" s="46" t="n">
        <f aca="false">+593981559712</f>
        <v>593981559712</v>
      </c>
      <c r="H2490" s="46" t="s">
        <v>5797</v>
      </c>
      <c r="I2490" s="46"/>
      <c r="J2490" s="1"/>
      <c r="K2490" s="1" t="s">
        <v>21</v>
      </c>
      <c r="L2490" s="1"/>
      <c r="M2490" s="1"/>
      <c r="N2490" s="1"/>
      <c r="O2490" s="1"/>
      <c r="P2490" s="6"/>
      <c r="Q2490" s="1"/>
      <c r="R2490" s="1"/>
      <c r="S2490" s="1"/>
      <c r="T2490" s="1"/>
      <c r="U2490" s="1"/>
      <c r="V2490" s="1"/>
      <c r="W2490" s="1"/>
      <c r="X2490" s="1"/>
      <c r="Y2490" s="1"/>
      <c r="Z2490" s="1"/>
    </row>
    <row r="2491" customFormat="false" ht="21.75" hidden="false" customHeight="true" outlineLevel="0" collapsed="false">
      <c r="A2491" s="4" t="n">
        <v>43500</v>
      </c>
      <c r="B2491" s="46" t="s">
        <v>352</v>
      </c>
      <c r="C2491" s="46" t="s">
        <v>15</v>
      </c>
      <c r="D2491" s="55" t="s">
        <v>43</v>
      </c>
      <c r="E2491" s="55" t="s">
        <v>883</v>
      </c>
      <c r="F2491" s="46" t="s">
        <v>5798</v>
      </c>
      <c r="G2491" s="46" t="n">
        <f aca="false">+5930990436877</f>
        <v>5930990436877</v>
      </c>
      <c r="H2491" s="46" t="s">
        <v>5799</v>
      </c>
      <c r="I2491" s="46"/>
      <c r="J2491" s="1"/>
      <c r="K2491" s="1" t="s">
        <v>21</v>
      </c>
      <c r="L2491" s="1"/>
      <c r="M2491" s="1"/>
      <c r="N2491" s="1"/>
      <c r="O2491" s="1"/>
      <c r="P2491" s="6"/>
      <c r="Q2491" s="1"/>
      <c r="R2491" s="1"/>
      <c r="S2491" s="1"/>
      <c r="T2491" s="1"/>
      <c r="U2491" s="1"/>
      <c r="V2491" s="1"/>
      <c r="W2491" s="1"/>
      <c r="X2491" s="1"/>
      <c r="Y2491" s="1"/>
      <c r="Z2491" s="1"/>
    </row>
    <row r="2492" customFormat="false" ht="21.75" hidden="false" customHeight="true" outlineLevel="0" collapsed="false">
      <c r="A2492" s="4" t="n">
        <v>43500</v>
      </c>
      <c r="B2492" s="46" t="s">
        <v>352</v>
      </c>
      <c r="C2492" s="46" t="s">
        <v>15</v>
      </c>
      <c r="D2492" s="55" t="s">
        <v>43</v>
      </c>
      <c r="E2492" s="55" t="s">
        <v>883</v>
      </c>
      <c r="F2492" s="46" t="s">
        <v>5800</v>
      </c>
      <c r="G2492" s="46" t="n">
        <f aca="false">+593939554265</f>
        <v>593939554265</v>
      </c>
      <c r="H2492" s="46" t="s">
        <v>5801</v>
      </c>
      <c r="I2492" s="46"/>
      <c r="J2492" s="1"/>
      <c r="K2492" s="1" t="s">
        <v>21</v>
      </c>
      <c r="L2492" s="1"/>
      <c r="M2492" s="1"/>
      <c r="N2492" s="1"/>
      <c r="O2492" s="1"/>
      <c r="P2492" s="6"/>
      <c r="Q2492" s="1"/>
      <c r="R2492" s="1"/>
      <c r="S2492" s="1"/>
      <c r="T2492" s="1"/>
      <c r="U2492" s="1"/>
      <c r="V2492" s="1"/>
      <c r="W2492" s="1"/>
      <c r="X2492" s="1"/>
      <c r="Y2492" s="1"/>
      <c r="Z2492" s="1"/>
    </row>
    <row r="2493" customFormat="false" ht="21.75" hidden="false" customHeight="true" outlineLevel="0" collapsed="false">
      <c r="A2493" s="4" t="n">
        <v>43500</v>
      </c>
      <c r="B2493" s="46" t="s">
        <v>352</v>
      </c>
      <c r="C2493" s="46" t="s">
        <v>15</v>
      </c>
      <c r="D2493" s="55" t="s">
        <v>43</v>
      </c>
      <c r="E2493" s="55" t="s">
        <v>883</v>
      </c>
      <c r="F2493" s="46" t="s">
        <v>5802</v>
      </c>
      <c r="G2493" s="46" t="n">
        <f aca="false">+5930992201075</f>
        <v>5930992201075</v>
      </c>
      <c r="H2493" s="46" t="s">
        <v>5803</v>
      </c>
      <c r="I2493" s="46"/>
      <c r="J2493" s="1"/>
      <c r="K2493" s="1" t="s">
        <v>5804</v>
      </c>
      <c r="L2493" s="1"/>
      <c r="M2493" s="1"/>
      <c r="N2493" s="1"/>
      <c r="O2493" s="1"/>
      <c r="P2493" s="6"/>
      <c r="Q2493" s="1"/>
      <c r="R2493" s="1"/>
      <c r="S2493" s="1"/>
      <c r="T2493" s="1"/>
      <c r="U2493" s="1"/>
      <c r="V2493" s="1"/>
      <c r="W2493" s="1"/>
      <c r="X2493" s="1"/>
      <c r="Y2493" s="1"/>
      <c r="Z2493" s="1"/>
    </row>
    <row r="2494" customFormat="false" ht="21.75" hidden="false" customHeight="true" outlineLevel="0" collapsed="false">
      <c r="A2494" s="4" t="n">
        <v>43500</v>
      </c>
      <c r="B2494" s="46" t="s">
        <v>48</v>
      </c>
      <c r="C2494" s="46" t="s">
        <v>15</v>
      </c>
      <c r="D2494" s="55" t="s">
        <v>43</v>
      </c>
      <c r="E2494" s="55" t="s">
        <v>883</v>
      </c>
      <c r="F2494" s="46" t="s">
        <v>5805</v>
      </c>
      <c r="G2494" s="46" t="n">
        <f aca="false">+593980199785</f>
        <v>593980199785</v>
      </c>
      <c r="H2494" s="46" t="s">
        <v>5806</v>
      </c>
      <c r="I2494" s="46"/>
      <c r="J2494" s="1"/>
      <c r="K2494" s="1" t="s">
        <v>21</v>
      </c>
      <c r="L2494" s="1"/>
      <c r="M2494" s="1"/>
      <c r="N2494" s="1"/>
      <c r="O2494" s="1"/>
      <c r="P2494" s="6"/>
      <c r="Q2494" s="1"/>
      <c r="R2494" s="1"/>
      <c r="S2494" s="1"/>
      <c r="T2494" s="1"/>
      <c r="U2494" s="1"/>
      <c r="V2494" s="1"/>
      <c r="W2494" s="1"/>
      <c r="X2494" s="1"/>
      <c r="Y2494" s="1"/>
      <c r="Z2494" s="1"/>
    </row>
    <row r="2495" customFormat="false" ht="21.75" hidden="false" customHeight="true" outlineLevel="0" collapsed="false">
      <c r="A2495" s="4" t="n">
        <v>43500</v>
      </c>
      <c r="B2495" s="46" t="s">
        <v>1114</v>
      </c>
      <c r="C2495" s="46" t="s">
        <v>15</v>
      </c>
      <c r="D2495" s="55" t="s">
        <v>43</v>
      </c>
      <c r="E2495" s="55" t="s">
        <v>883</v>
      </c>
      <c r="F2495" s="46" t="s">
        <v>5807</v>
      </c>
      <c r="G2495" s="46" t="n">
        <f aca="false">+5930986976223</f>
        <v>5930986976223</v>
      </c>
      <c r="H2495" s="46" t="s">
        <v>5808</v>
      </c>
      <c r="I2495" s="46"/>
      <c r="J2495" s="1"/>
      <c r="K2495" s="1" t="s">
        <v>21</v>
      </c>
      <c r="L2495" s="1"/>
      <c r="M2495" s="1"/>
      <c r="N2495" s="1"/>
      <c r="O2495" s="1"/>
      <c r="P2495" s="6"/>
      <c r="Q2495" s="1"/>
      <c r="R2495" s="1"/>
      <c r="S2495" s="1"/>
      <c r="T2495" s="1"/>
      <c r="U2495" s="1"/>
      <c r="V2495" s="1"/>
      <c r="W2495" s="1"/>
      <c r="X2495" s="1"/>
      <c r="Y2495" s="1"/>
      <c r="Z2495" s="1"/>
    </row>
    <row r="2496" customFormat="false" ht="21.75" hidden="false" customHeight="true" outlineLevel="0" collapsed="false">
      <c r="A2496" s="4" t="n">
        <v>43500</v>
      </c>
      <c r="B2496" s="46" t="s">
        <v>1114</v>
      </c>
      <c r="C2496" s="46" t="s">
        <v>15</v>
      </c>
      <c r="D2496" s="55" t="s">
        <v>43</v>
      </c>
      <c r="E2496" s="55" t="s">
        <v>883</v>
      </c>
      <c r="F2496" s="46" t="s">
        <v>5809</v>
      </c>
      <c r="G2496" s="46" t="n">
        <f aca="false">+5930986167814</f>
        <v>5930986167814</v>
      </c>
      <c r="H2496" s="46" t="s">
        <v>5810</v>
      </c>
      <c r="I2496" s="46"/>
      <c r="J2496" s="1"/>
      <c r="K2496" s="1" t="s">
        <v>5811</v>
      </c>
      <c r="L2496" s="1"/>
      <c r="M2496" s="1"/>
      <c r="N2496" s="1"/>
      <c r="O2496" s="1"/>
      <c r="P2496" s="6"/>
      <c r="Q2496" s="1"/>
      <c r="R2496" s="1"/>
      <c r="S2496" s="1"/>
      <c r="T2496" s="1"/>
      <c r="U2496" s="1"/>
      <c r="V2496" s="1"/>
      <c r="W2496" s="1"/>
      <c r="X2496" s="1"/>
      <c r="Y2496" s="1"/>
      <c r="Z2496" s="1"/>
    </row>
    <row r="2497" customFormat="false" ht="21.75" hidden="false" customHeight="true" outlineLevel="0" collapsed="false">
      <c r="A2497" s="4" t="n">
        <v>43500</v>
      </c>
      <c r="B2497" s="46" t="s">
        <v>1114</v>
      </c>
      <c r="C2497" s="46" t="s">
        <v>15</v>
      </c>
      <c r="D2497" s="55" t="s">
        <v>43</v>
      </c>
      <c r="E2497" s="55" t="s">
        <v>883</v>
      </c>
      <c r="F2497" s="46" t="s">
        <v>5812</v>
      </c>
      <c r="G2497" s="46" t="n">
        <f aca="false">+5930997727767</f>
        <v>5930997727767</v>
      </c>
      <c r="H2497" s="46" t="s">
        <v>5813</v>
      </c>
      <c r="I2497" s="46"/>
      <c r="J2497" s="1"/>
      <c r="K2497" s="1" t="s">
        <v>21</v>
      </c>
      <c r="L2497" s="1"/>
      <c r="M2497" s="1"/>
      <c r="N2497" s="1"/>
      <c r="O2497" s="1"/>
      <c r="P2497" s="6"/>
      <c r="Q2497" s="1"/>
      <c r="R2497" s="1"/>
      <c r="S2497" s="1"/>
      <c r="T2497" s="1"/>
      <c r="U2497" s="1"/>
      <c r="V2497" s="1"/>
      <c r="W2497" s="1"/>
      <c r="X2497" s="1"/>
      <c r="Y2497" s="1"/>
      <c r="Z2497" s="1"/>
    </row>
    <row r="2498" customFormat="false" ht="21.75" hidden="false" customHeight="true" outlineLevel="0" collapsed="false">
      <c r="A2498" s="4" t="n">
        <v>43500</v>
      </c>
      <c r="B2498" s="46" t="s">
        <v>48</v>
      </c>
      <c r="C2498" s="46" t="s">
        <v>15</v>
      </c>
      <c r="D2498" s="55" t="s">
        <v>43</v>
      </c>
      <c r="E2498" s="55" t="s">
        <v>883</v>
      </c>
      <c r="F2498" s="46" t="s">
        <v>5814</v>
      </c>
      <c r="G2498" s="46" t="n">
        <f aca="false">+593996524558</f>
        <v>593996524558</v>
      </c>
      <c r="H2498" s="46" t="s">
        <v>5815</v>
      </c>
      <c r="I2498" s="46"/>
      <c r="J2498" s="1"/>
      <c r="K2498" s="1" t="s">
        <v>21</v>
      </c>
      <c r="L2498" s="1"/>
      <c r="M2498" s="1"/>
      <c r="N2498" s="1"/>
      <c r="O2498" s="1"/>
      <c r="P2498" s="6"/>
      <c r="Q2498" s="1"/>
      <c r="R2498" s="1"/>
      <c r="S2498" s="1"/>
      <c r="T2498" s="1"/>
      <c r="U2498" s="1"/>
      <c r="V2498" s="1"/>
      <c r="W2498" s="1"/>
      <c r="X2498" s="1"/>
      <c r="Y2498" s="1"/>
      <c r="Z2498" s="1"/>
    </row>
    <row r="2499" customFormat="false" ht="21.75" hidden="false" customHeight="true" outlineLevel="0" collapsed="false">
      <c r="A2499" s="4" t="n">
        <v>43500</v>
      </c>
      <c r="B2499" s="46" t="s">
        <v>127</v>
      </c>
      <c r="C2499" s="46" t="s">
        <v>15</v>
      </c>
      <c r="D2499" s="55" t="s">
        <v>43</v>
      </c>
      <c r="E2499" s="55" t="s">
        <v>883</v>
      </c>
      <c r="F2499" s="46" t="s">
        <v>5816</v>
      </c>
      <c r="G2499" s="46" t="n">
        <f aca="false">+5930985824460</f>
        <v>5930985824460</v>
      </c>
      <c r="H2499" s="46" t="s">
        <v>5817</v>
      </c>
      <c r="I2499" s="46"/>
      <c r="J2499" s="1"/>
      <c r="K2499" s="1" t="s">
        <v>5818</v>
      </c>
      <c r="L2499" s="1"/>
      <c r="M2499" s="1"/>
      <c r="N2499" s="1"/>
      <c r="O2499" s="1"/>
      <c r="P2499" s="6"/>
      <c r="Q2499" s="1"/>
      <c r="R2499" s="1"/>
      <c r="S2499" s="1"/>
      <c r="T2499" s="1"/>
      <c r="U2499" s="1"/>
      <c r="V2499" s="1"/>
      <c r="W2499" s="1"/>
      <c r="X2499" s="1"/>
      <c r="Y2499" s="1"/>
      <c r="Z2499" s="1"/>
    </row>
    <row r="2500" customFormat="false" ht="21.75" hidden="false" customHeight="true" outlineLevel="0" collapsed="false">
      <c r="A2500" s="4" t="n">
        <v>43500</v>
      </c>
      <c r="B2500" s="46" t="s">
        <v>352</v>
      </c>
      <c r="C2500" s="46" t="s">
        <v>15</v>
      </c>
      <c r="D2500" s="55" t="s">
        <v>43</v>
      </c>
      <c r="E2500" s="55" t="s">
        <v>883</v>
      </c>
      <c r="F2500" s="46" t="s">
        <v>5819</v>
      </c>
      <c r="G2500" s="46" t="n">
        <f aca="false">+5930994122367</f>
        <v>5930994122367</v>
      </c>
      <c r="H2500" s="46" t="s">
        <v>5820</v>
      </c>
      <c r="I2500" s="46"/>
      <c r="J2500" s="1"/>
      <c r="K2500" s="1" t="s">
        <v>5821</v>
      </c>
      <c r="L2500" s="1"/>
      <c r="M2500" s="1"/>
      <c r="N2500" s="1"/>
      <c r="O2500" s="1"/>
      <c r="P2500" s="6"/>
      <c r="Q2500" s="1"/>
      <c r="R2500" s="1"/>
      <c r="S2500" s="1"/>
      <c r="T2500" s="1"/>
      <c r="U2500" s="1"/>
      <c r="V2500" s="1"/>
      <c r="W2500" s="1"/>
      <c r="X2500" s="1"/>
      <c r="Y2500" s="1"/>
      <c r="Z2500" s="1"/>
    </row>
    <row r="2501" customFormat="false" ht="21.75" hidden="false" customHeight="true" outlineLevel="0" collapsed="false">
      <c r="A2501" s="4" t="n">
        <v>43500</v>
      </c>
      <c r="B2501" s="46" t="s">
        <v>1114</v>
      </c>
      <c r="C2501" s="46" t="s">
        <v>15</v>
      </c>
      <c r="D2501" s="55" t="s">
        <v>43</v>
      </c>
      <c r="E2501" s="55" t="s">
        <v>883</v>
      </c>
      <c r="F2501" s="46" t="s">
        <v>5822</v>
      </c>
      <c r="G2501" s="46" t="n">
        <f aca="false">+593998414604</f>
        <v>593998414604</v>
      </c>
      <c r="H2501" s="46" t="s">
        <v>5823</v>
      </c>
      <c r="I2501" s="46"/>
      <c r="J2501" s="1"/>
      <c r="K2501" s="1" t="s">
        <v>21</v>
      </c>
      <c r="L2501" s="1"/>
      <c r="M2501" s="1"/>
      <c r="N2501" s="1"/>
      <c r="O2501" s="1"/>
      <c r="P2501" s="6"/>
      <c r="Q2501" s="1"/>
      <c r="R2501" s="1"/>
      <c r="S2501" s="1"/>
      <c r="T2501" s="1"/>
      <c r="U2501" s="1"/>
      <c r="V2501" s="1"/>
      <c r="W2501" s="1"/>
      <c r="X2501" s="1"/>
      <c r="Y2501" s="1"/>
      <c r="Z2501" s="1"/>
    </row>
    <row r="2502" customFormat="false" ht="21.75" hidden="false" customHeight="true" outlineLevel="0" collapsed="false">
      <c r="A2502" s="4" t="n">
        <v>43500</v>
      </c>
      <c r="B2502" s="46" t="s">
        <v>48</v>
      </c>
      <c r="C2502" s="46" t="s">
        <v>15</v>
      </c>
      <c r="D2502" s="55" t="s">
        <v>43</v>
      </c>
      <c r="E2502" s="55" t="s">
        <v>883</v>
      </c>
      <c r="F2502" s="46" t="s">
        <v>5824</v>
      </c>
      <c r="G2502" s="46" t="n">
        <f aca="false">+593985939717</f>
        <v>593985939717</v>
      </c>
      <c r="H2502" s="46" t="s">
        <v>5825</v>
      </c>
      <c r="I2502" s="46"/>
      <c r="J2502" s="1"/>
      <c r="K2502" s="1" t="s">
        <v>21</v>
      </c>
      <c r="L2502" s="1"/>
      <c r="M2502" s="1"/>
      <c r="N2502" s="1"/>
      <c r="O2502" s="1"/>
      <c r="P2502" s="6"/>
      <c r="Q2502" s="1"/>
      <c r="R2502" s="1"/>
      <c r="S2502" s="1"/>
      <c r="T2502" s="1"/>
      <c r="U2502" s="1"/>
      <c r="V2502" s="1"/>
      <c r="W2502" s="1"/>
      <c r="X2502" s="1"/>
      <c r="Y2502" s="1"/>
      <c r="Z2502" s="1"/>
    </row>
    <row r="2503" customFormat="false" ht="21.75" hidden="false" customHeight="true" outlineLevel="0" collapsed="false">
      <c r="A2503" s="4" t="n">
        <v>43500</v>
      </c>
      <c r="B2503" s="46" t="s">
        <v>1114</v>
      </c>
      <c r="C2503" s="46" t="s">
        <v>15</v>
      </c>
      <c r="D2503" s="55" t="s">
        <v>43</v>
      </c>
      <c r="E2503" s="55" t="s">
        <v>883</v>
      </c>
      <c r="F2503" s="46" t="s">
        <v>5826</v>
      </c>
      <c r="G2503" s="46" t="n">
        <f aca="false">+393381632744</f>
        <v>393381632744</v>
      </c>
      <c r="H2503" s="46" t="s">
        <v>5827</v>
      </c>
      <c r="I2503" s="46"/>
      <c r="J2503" s="1"/>
      <c r="K2503" s="1" t="s">
        <v>1962</v>
      </c>
      <c r="L2503" s="1"/>
      <c r="M2503" s="1"/>
      <c r="N2503" s="1"/>
      <c r="O2503" s="1"/>
      <c r="P2503" s="6"/>
      <c r="Q2503" s="1"/>
      <c r="R2503" s="1"/>
      <c r="S2503" s="1"/>
      <c r="T2503" s="1"/>
      <c r="U2503" s="1"/>
      <c r="V2503" s="1"/>
      <c r="W2503" s="1"/>
      <c r="X2503" s="1"/>
      <c r="Y2503" s="1"/>
      <c r="Z2503" s="1"/>
    </row>
    <row r="2504" customFormat="false" ht="21.75" hidden="false" customHeight="true" outlineLevel="0" collapsed="false">
      <c r="A2504" s="4" t="n">
        <v>43500</v>
      </c>
      <c r="B2504" s="46" t="s">
        <v>48</v>
      </c>
      <c r="C2504" s="46" t="s">
        <v>26</v>
      </c>
      <c r="D2504" s="55" t="s">
        <v>43</v>
      </c>
      <c r="E2504" s="55" t="s">
        <v>883</v>
      </c>
      <c r="F2504" s="46" t="s">
        <v>5828</v>
      </c>
      <c r="G2504" s="46" t="n">
        <f aca="false">+5930967910262</f>
        <v>5930967910262</v>
      </c>
      <c r="H2504" s="46" t="s">
        <v>5829</v>
      </c>
      <c r="I2504" s="46"/>
      <c r="J2504" s="1"/>
      <c r="K2504" s="1" t="s">
        <v>21</v>
      </c>
      <c r="L2504" s="1"/>
      <c r="M2504" s="1"/>
      <c r="N2504" s="1"/>
      <c r="O2504" s="1"/>
      <c r="P2504" s="6"/>
      <c r="Q2504" s="1"/>
      <c r="R2504" s="1"/>
      <c r="S2504" s="1"/>
      <c r="T2504" s="1"/>
      <c r="U2504" s="1"/>
      <c r="V2504" s="1"/>
      <c r="W2504" s="1"/>
      <c r="X2504" s="1"/>
      <c r="Y2504" s="1"/>
      <c r="Z2504" s="1"/>
    </row>
    <row r="2505" customFormat="false" ht="21.75" hidden="false" customHeight="true" outlineLevel="0" collapsed="false">
      <c r="A2505" s="4" t="n">
        <v>43500</v>
      </c>
      <c r="B2505" s="46" t="s">
        <v>352</v>
      </c>
      <c r="C2505" s="46" t="s">
        <v>15</v>
      </c>
      <c r="D2505" s="55" t="s">
        <v>43</v>
      </c>
      <c r="E2505" s="55" t="s">
        <v>883</v>
      </c>
      <c r="F2505" s="46" t="s">
        <v>5830</v>
      </c>
      <c r="G2505" s="46" t="n">
        <f aca="false">+593994291790</f>
        <v>593994291790</v>
      </c>
      <c r="H2505" s="46" t="s">
        <v>5831</v>
      </c>
      <c r="I2505" s="46"/>
      <c r="J2505" s="1"/>
      <c r="K2505" s="1" t="s">
        <v>5832</v>
      </c>
      <c r="L2505" s="1"/>
      <c r="M2505" s="1"/>
      <c r="N2505" s="1"/>
      <c r="O2505" s="1"/>
      <c r="P2505" s="6"/>
      <c r="Q2505" s="1"/>
      <c r="R2505" s="1"/>
      <c r="S2505" s="1"/>
      <c r="T2505" s="1"/>
      <c r="U2505" s="1"/>
      <c r="V2505" s="1"/>
      <c r="W2505" s="1"/>
      <c r="X2505" s="1"/>
      <c r="Y2505" s="1"/>
      <c r="Z2505" s="1"/>
    </row>
    <row r="2506" customFormat="false" ht="21.75" hidden="false" customHeight="true" outlineLevel="0" collapsed="false">
      <c r="A2506" s="4" t="n">
        <v>43500</v>
      </c>
      <c r="B2506" s="46" t="s">
        <v>127</v>
      </c>
      <c r="C2506" s="46" t="s">
        <v>26</v>
      </c>
      <c r="D2506" s="55" t="s">
        <v>43</v>
      </c>
      <c r="E2506" s="55" t="s">
        <v>883</v>
      </c>
      <c r="F2506" s="46" t="s">
        <v>5833</v>
      </c>
      <c r="G2506" s="46" t="n">
        <f aca="false">+593980075811</f>
        <v>593980075811</v>
      </c>
      <c r="H2506" s="46" t="s">
        <v>5834</v>
      </c>
      <c r="I2506" s="46"/>
      <c r="J2506" s="1"/>
      <c r="K2506" s="1" t="s">
        <v>5835</v>
      </c>
      <c r="L2506" s="1"/>
      <c r="M2506" s="1"/>
      <c r="N2506" s="1"/>
      <c r="O2506" s="1"/>
      <c r="P2506" s="6"/>
      <c r="Q2506" s="1"/>
      <c r="R2506" s="1"/>
      <c r="S2506" s="1"/>
      <c r="T2506" s="1"/>
      <c r="U2506" s="1"/>
      <c r="V2506" s="1"/>
      <c r="W2506" s="1"/>
      <c r="X2506" s="1"/>
      <c r="Y2506" s="1"/>
      <c r="Z2506" s="1"/>
    </row>
    <row r="2507" customFormat="false" ht="21.75" hidden="false" customHeight="true" outlineLevel="0" collapsed="false">
      <c r="A2507" s="4" t="n">
        <v>43500</v>
      </c>
      <c r="B2507" s="46" t="s">
        <v>352</v>
      </c>
      <c r="C2507" s="46" t="s">
        <v>15</v>
      </c>
      <c r="D2507" s="55" t="s">
        <v>43</v>
      </c>
      <c r="E2507" s="55" t="s">
        <v>883</v>
      </c>
      <c r="F2507" s="46" t="s">
        <v>5836</v>
      </c>
      <c r="G2507" s="46" t="n">
        <f aca="false">+593990935991</f>
        <v>593990935991</v>
      </c>
      <c r="H2507" s="46" t="s">
        <v>5837</v>
      </c>
      <c r="I2507" s="46"/>
      <c r="J2507" s="1"/>
      <c r="K2507" s="1" t="s">
        <v>5838</v>
      </c>
      <c r="L2507" s="1"/>
      <c r="M2507" s="1"/>
      <c r="N2507" s="1"/>
      <c r="O2507" s="1"/>
      <c r="P2507" s="6"/>
      <c r="Q2507" s="1"/>
      <c r="R2507" s="1"/>
      <c r="S2507" s="1"/>
      <c r="T2507" s="1"/>
      <c r="U2507" s="1"/>
      <c r="V2507" s="1"/>
      <c r="W2507" s="1"/>
      <c r="X2507" s="1"/>
      <c r="Y2507" s="1"/>
      <c r="Z2507" s="1"/>
    </row>
    <row r="2508" customFormat="false" ht="21.75" hidden="false" customHeight="true" outlineLevel="0" collapsed="false">
      <c r="A2508" s="4" t="n">
        <v>43500</v>
      </c>
      <c r="B2508" s="46" t="s">
        <v>1114</v>
      </c>
      <c r="C2508" s="46" t="s">
        <v>15</v>
      </c>
      <c r="D2508" s="55" t="s">
        <v>43</v>
      </c>
      <c r="E2508" s="55" t="s">
        <v>883</v>
      </c>
      <c r="F2508" s="46" t="s">
        <v>5839</v>
      </c>
      <c r="G2508" s="46" t="n">
        <f aca="false">+593994342775</f>
        <v>593994342775</v>
      </c>
      <c r="H2508" s="46" t="s">
        <v>5840</v>
      </c>
      <c r="I2508" s="46"/>
      <c r="J2508" s="1"/>
      <c r="K2508" s="1" t="s">
        <v>21</v>
      </c>
      <c r="L2508" s="1"/>
      <c r="M2508" s="1"/>
      <c r="N2508" s="1"/>
      <c r="O2508" s="1"/>
      <c r="P2508" s="6"/>
      <c r="Q2508" s="1"/>
      <c r="R2508" s="1"/>
      <c r="S2508" s="1"/>
      <c r="T2508" s="1"/>
      <c r="U2508" s="1"/>
      <c r="V2508" s="1"/>
      <c r="W2508" s="1"/>
      <c r="X2508" s="1"/>
      <c r="Y2508" s="1"/>
      <c r="Z2508" s="1"/>
    </row>
    <row r="2509" customFormat="false" ht="21.75" hidden="false" customHeight="true" outlineLevel="0" collapsed="false">
      <c r="A2509" s="4" t="n">
        <v>43500</v>
      </c>
      <c r="B2509" s="46" t="s">
        <v>1114</v>
      </c>
      <c r="C2509" s="46" t="s">
        <v>26</v>
      </c>
      <c r="D2509" s="55" t="s">
        <v>43</v>
      </c>
      <c r="E2509" s="55" t="s">
        <v>883</v>
      </c>
      <c r="F2509" s="46" t="s">
        <v>5841</v>
      </c>
      <c r="G2509" s="46" t="n">
        <f aca="false">+593985648078</f>
        <v>593985648078</v>
      </c>
      <c r="H2509" s="46" t="s">
        <v>5842</v>
      </c>
      <c r="I2509" s="46"/>
      <c r="J2509" s="1"/>
      <c r="K2509" s="1" t="s">
        <v>5843</v>
      </c>
      <c r="L2509" s="1"/>
      <c r="M2509" s="1"/>
      <c r="N2509" s="1"/>
      <c r="O2509" s="1"/>
      <c r="P2509" s="6"/>
      <c r="Q2509" s="1"/>
      <c r="R2509" s="1"/>
      <c r="S2509" s="1"/>
      <c r="T2509" s="1"/>
      <c r="U2509" s="1"/>
      <c r="V2509" s="1"/>
      <c r="W2509" s="1"/>
      <c r="X2509" s="1"/>
      <c r="Y2509" s="1"/>
      <c r="Z2509" s="1"/>
    </row>
    <row r="2510" customFormat="false" ht="21.75" hidden="false" customHeight="true" outlineLevel="0" collapsed="false">
      <c r="A2510" s="4" t="n">
        <v>43500</v>
      </c>
      <c r="B2510" s="46" t="s">
        <v>352</v>
      </c>
      <c r="C2510" s="46" t="s">
        <v>26</v>
      </c>
      <c r="D2510" s="55" t="s">
        <v>43</v>
      </c>
      <c r="E2510" s="55" t="s">
        <v>883</v>
      </c>
      <c r="F2510" s="46" t="s">
        <v>5844</v>
      </c>
      <c r="G2510" s="46" t="n">
        <f aca="false">+5930998066080</f>
        <v>5930998066080</v>
      </c>
      <c r="H2510" s="46" t="s">
        <v>5845</v>
      </c>
      <c r="I2510" s="46"/>
      <c r="J2510" s="1"/>
      <c r="K2510" s="1" t="s">
        <v>2714</v>
      </c>
      <c r="L2510" s="1"/>
      <c r="M2510" s="1"/>
      <c r="N2510" s="1"/>
      <c r="O2510" s="1"/>
      <c r="P2510" s="6"/>
      <c r="Q2510" s="1"/>
      <c r="R2510" s="1"/>
      <c r="S2510" s="1"/>
      <c r="T2510" s="1"/>
      <c r="U2510" s="1"/>
      <c r="V2510" s="1"/>
      <c r="W2510" s="1"/>
      <c r="X2510" s="1"/>
      <c r="Y2510" s="1"/>
      <c r="Z2510" s="1"/>
    </row>
    <row r="2511" customFormat="false" ht="21.75" hidden="false" customHeight="true" outlineLevel="0" collapsed="false">
      <c r="A2511" s="4" t="n">
        <v>43500</v>
      </c>
      <c r="B2511" s="46" t="s">
        <v>48</v>
      </c>
      <c r="C2511" s="46" t="s">
        <v>15</v>
      </c>
      <c r="D2511" s="55" t="s">
        <v>43</v>
      </c>
      <c r="E2511" s="55" t="s">
        <v>883</v>
      </c>
      <c r="F2511" s="46" t="s">
        <v>5846</v>
      </c>
      <c r="G2511" s="46" t="n">
        <f aca="false">+593981892686</f>
        <v>593981892686</v>
      </c>
      <c r="H2511" s="46" t="s">
        <v>5847</v>
      </c>
      <c r="I2511" s="46"/>
      <c r="J2511" s="1"/>
      <c r="K2511" s="1" t="s">
        <v>5848</v>
      </c>
      <c r="L2511" s="1"/>
      <c r="M2511" s="1"/>
      <c r="N2511" s="1"/>
      <c r="O2511" s="1"/>
      <c r="P2511" s="6"/>
      <c r="Q2511" s="1"/>
      <c r="R2511" s="1"/>
      <c r="S2511" s="1"/>
      <c r="T2511" s="1"/>
      <c r="U2511" s="1"/>
      <c r="V2511" s="1"/>
      <c r="W2511" s="1"/>
      <c r="X2511" s="1"/>
      <c r="Y2511" s="1"/>
      <c r="Z2511" s="1"/>
    </row>
    <row r="2512" customFormat="false" ht="21.75" hidden="false" customHeight="true" outlineLevel="0" collapsed="false">
      <c r="A2512" s="4" t="n">
        <v>43500</v>
      </c>
      <c r="B2512" s="46" t="s">
        <v>48</v>
      </c>
      <c r="C2512" s="46" t="s">
        <v>15</v>
      </c>
      <c r="D2512" s="55" t="s">
        <v>43</v>
      </c>
      <c r="E2512" s="55" t="s">
        <v>883</v>
      </c>
      <c r="F2512" s="46" t="s">
        <v>5849</v>
      </c>
      <c r="G2512" s="46" t="n">
        <f aca="false">+593980585481</f>
        <v>593980585481</v>
      </c>
      <c r="H2512" s="46" t="s">
        <v>5850</v>
      </c>
      <c r="I2512" s="46"/>
      <c r="J2512" s="1"/>
      <c r="K2512" s="1" t="s">
        <v>21</v>
      </c>
      <c r="L2512" s="1"/>
      <c r="M2512" s="1"/>
      <c r="N2512" s="1"/>
      <c r="O2512" s="1"/>
      <c r="P2512" s="6"/>
      <c r="Q2512" s="1"/>
      <c r="R2512" s="1"/>
      <c r="S2512" s="1"/>
      <c r="T2512" s="1"/>
      <c r="U2512" s="1"/>
      <c r="V2512" s="1"/>
      <c r="W2512" s="1"/>
      <c r="X2512" s="1"/>
      <c r="Y2512" s="1"/>
      <c r="Z2512" s="1"/>
    </row>
    <row r="2513" customFormat="false" ht="21.75" hidden="false" customHeight="true" outlineLevel="0" collapsed="false">
      <c r="A2513" s="4" t="n">
        <v>43500</v>
      </c>
      <c r="B2513" s="46" t="s">
        <v>48</v>
      </c>
      <c r="C2513" s="46" t="s">
        <v>15</v>
      </c>
      <c r="D2513" s="55" t="s">
        <v>43</v>
      </c>
      <c r="E2513" s="55" t="s">
        <v>883</v>
      </c>
      <c r="F2513" s="46" t="s">
        <v>5851</v>
      </c>
      <c r="G2513" s="46" t="n">
        <f aca="false">+593993841225</f>
        <v>593993841225</v>
      </c>
      <c r="H2513" s="46" t="s">
        <v>5852</v>
      </c>
      <c r="I2513" s="46"/>
      <c r="J2513" s="1"/>
      <c r="K2513" s="1" t="s">
        <v>21</v>
      </c>
      <c r="L2513" s="1"/>
      <c r="M2513" s="1"/>
      <c r="N2513" s="1"/>
      <c r="O2513" s="1"/>
      <c r="P2513" s="6"/>
      <c r="Q2513" s="1"/>
      <c r="R2513" s="1"/>
      <c r="S2513" s="1"/>
      <c r="T2513" s="1"/>
      <c r="U2513" s="1"/>
      <c r="V2513" s="1"/>
      <c r="W2513" s="1"/>
      <c r="X2513" s="1"/>
      <c r="Y2513" s="1"/>
      <c r="Z2513" s="1"/>
    </row>
    <row r="2514" customFormat="false" ht="21.75" hidden="false" customHeight="true" outlineLevel="0" collapsed="false">
      <c r="A2514" s="4" t="n">
        <v>43500</v>
      </c>
      <c r="B2514" s="46" t="s">
        <v>48</v>
      </c>
      <c r="C2514" s="46" t="s">
        <v>15</v>
      </c>
      <c r="D2514" s="55" t="s">
        <v>43</v>
      </c>
      <c r="E2514" s="55" t="s">
        <v>883</v>
      </c>
      <c r="F2514" s="46" t="s">
        <v>5853</v>
      </c>
      <c r="G2514" s="46" t="n">
        <f aca="false">+593987827203</f>
        <v>593987827203</v>
      </c>
      <c r="H2514" s="46" t="s">
        <v>5854</v>
      </c>
      <c r="I2514" s="46"/>
      <c r="J2514" s="1"/>
      <c r="K2514" s="1" t="s">
        <v>21</v>
      </c>
      <c r="L2514" s="1"/>
      <c r="M2514" s="1"/>
      <c r="N2514" s="1"/>
      <c r="O2514" s="1"/>
      <c r="P2514" s="6"/>
      <c r="Q2514" s="1"/>
      <c r="R2514" s="1"/>
      <c r="S2514" s="1"/>
      <c r="T2514" s="1"/>
      <c r="U2514" s="1"/>
      <c r="V2514" s="1"/>
      <c r="W2514" s="1"/>
      <c r="X2514" s="1"/>
      <c r="Y2514" s="1"/>
      <c r="Z2514" s="1"/>
    </row>
    <row r="2515" customFormat="false" ht="21.75" hidden="false" customHeight="true" outlineLevel="0" collapsed="false">
      <c r="A2515" s="4" t="n">
        <v>43500</v>
      </c>
      <c r="B2515" s="46" t="s">
        <v>178</v>
      </c>
      <c r="C2515" s="46" t="s">
        <v>15</v>
      </c>
      <c r="D2515" s="55" t="s">
        <v>43</v>
      </c>
      <c r="E2515" s="55" t="s">
        <v>883</v>
      </c>
      <c r="F2515" s="46" t="s">
        <v>5855</v>
      </c>
      <c r="G2515" s="46" t="n">
        <f aca="false">+593978813970</f>
        <v>593978813970</v>
      </c>
      <c r="H2515" s="46" t="s">
        <v>5856</v>
      </c>
      <c r="I2515" s="46"/>
      <c r="J2515" s="1"/>
      <c r="K2515" s="1" t="s">
        <v>21</v>
      </c>
      <c r="L2515" s="1"/>
      <c r="M2515" s="1"/>
      <c r="N2515" s="1"/>
      <c r="O2515" s="1"/>
      <c r="P2515" s="6"/>
      <c r="Q2515" s="1"/>
      <c r="R2515" s="1"/>
      <c r="S2515" s="1"/>
      <c r="T2515" s="1"/>
      <c r="U2515" s="1"/>
      <c r="V2515" s="1"/>
      <c r="W2515" s="1"/>
      <c r="X2515" s="1"/>
      <c r="Y2515" s="1"/>
      <c r="Z2515" s="1"/>
    </row>
    <row r="2516" customFormat="false" ht="21.75" hidden="false" customHeight="true" outlineLevel="0" collapsed="false">
      <c r="A2516" s="4" t="n">
        <v>43500</v>
      </c>
      <c r="B2516" s="46" t="s">
        <v>48</v>
      </c>
      <c r="C2516" s="46" t="s">
        <v>15</v>
      </c>
      <c r="D2516" s="55" t="s">
        <v>43</v>
      </c>
      <c r="E2516" s="55" t="s">
        <v>883</v>
      </c>
      <c r="F2516" s="46" t="s">
        <v>5857</v>
      </c>
      <c r="G2516" s="46" t="n">
        <f aca="false">+593994029746</f>
        <v>593994029746</v>
      </c>
      <c r="H2516" s="46" t="s">
        <v>5858</v>
      </c>
      <c r="I2516" s="46"/>
      <c r="J2516" s="1"/>
      <c r="K2516" s="1" t="s">
        <v>21</v>
      </c>
      <c r="L2516" s="1"/>
      <c r="M2516" s="1"/>
      <c r="N2516" s="1"/>
      <c r="O2516" s="1"/>
      <c r="P2516" s="6"/>
      <c r="Q2516" s="1"/>
      <c r="R2516" s="1"/>
      <c r="S2516" s="1"/>
      <c r="T2516" s="1"/>
      <c r="U2516" s="1"/>
      <c r="V2516" s="1"/>
      <c r="W2516" s="1"/>
      <c r="X2516" s="1"/>
      <c r="Y2516" s="1"/>
      <c r="Z2516" s="1"/>
    </row>
    <row r="2517" customFormat="false" ht="21.75" hidden="false" customHeight="true" outlineLevel="0" collapsed="false">
      <c r="A2517" s="4" t="n">
        <v>43500</v>
      </c>
      <c r="B2517" s="46" t="s">
        <v>127</v>
      </c>
      <c r="C2517" s="46" t="s">
        <v>15</v>
      </c>
      <c r="D2517" s="55" t="s">
        <v>43</v>
      </c>
      <c r="E2517" s="55" t="s">
        <v>883</v>
      </c>
      <c r="F2517" s="46" t="s">
        <v>5859</v>
      </c>
      <c r="G2517" s="46" t="n">
        <f aca="false">+5930980993526</f>
        <v>5930980993526</v>
      </c>
      <c r="H2517" s="46" t="s">
        <v>5860</v>
      </c>
      <c r="I2517" s="46"/>
      <c r="J2517" s="1"/>
      <c r="K2517" s="1" t="s">
        <v>21</v>
      </c>
      <c r="L2517" s="1"/>
      <c r="M2517" s="1"/>
      <c r="N2517" s="1"/>
      <c r="O2517" s="1"/>
      <c r="P2517" s="6"/>
      <c r="Q2517" s="1"/>
      <c r="R2517" s="1"/>
      <c r="S2517" s="1"/>
      <c r="T2517" s="1"/>
      <c r="U2517" s="1"/>
      <c r="V2517" s="1"/>
      <c r="W2517" s="1"/>
      <c r="X2517" s="1"/>
      <c r="Y2517" s="1"/>
      <c r="Z2517" s="1"/>
    </row>
    <row r="2518" customFormat="false" ht="21.75" hidden="false" customHeight="true" outlineLevel="0" collapsed="false">
      <c r="A2518" s="4" t="n">
        <v>43500</v>
      </c>
      <c r="B2518" s="46" t="s">
        <v>48</v>
      </c>
      <c r="C2518" s="46" t="s">
        <v>15</v>
      </c>
      <c r="D2518" s="55" t="s">
        <v>43</v>
      </c>
      <c r="E2518" s="55" t="s">
        <v>883</v>
      </c>
      <c r="F2518" s="46" t="s">
        <v>5861</v>
      </c>
      <c r="G2518" s="46" t="n">
        <f aca="false">+593959762372</f>
        <v>593959762372</v>
      </c>
      <c r="H2518" s="46" t="s">
        <v>5862</v>
      </c>
      <c r="I2518" s="46"/>
      <c r="J2518" s="1"/>
      <c r="K2518" s="1" t="s">
        <v>21</v>
      </c>
      <c r="L2518" s="1"/>
      <c r="M2518" s="1"/>
      <c r="N2518" s="1"/>
      <c r="O2518" s="1"/>
      <c r="P2518" s="6"/>
      <c r="Q2518" s="1"/>
      <c r="R2518" s="1"/>
      <c r="S2518" s="1"/>
      <c r="T2518" s="1"/>
      <c r="U2518" s="1"/>
      <c r="V2518" s="1"/>
      <c r="W2518" s="1"/>
      <c r="X2518" s="1"/>
      <c r="Y2518" s="1"/>
      <c r="Z2518" s="1"/>
    </row>
    <row r="2519" customFormat="false" ht="21.75" hidden="false" customHeight="true" outlineLevel="0" collapsed="false">
      <c r="A2519" s="4" t="n">
        <v>43500</v>
      </c>
      <c r="B2519" s="46" t="s">
        <v>1114</v>
      </c>
      <c r="C2519" s="46" t="s">
        <v>15</v>
      </c>
      <c r="D2519" s="55" t="s">
        <v>43</v>
      </c>
      <c r="E2519" s="55" t="s">
        <v>883</v>
      </c>
      <c r="F2519" s="46" t="s">
        <v>5863</v>
      </c>
      <c r="G2519" s="46" t="n">
        <f aca="false">+593986265836</f>
        <v>593986265836</v>
      </c>
      <c r="H2519" s="46" t="s">
        <v>5864</v>
      </c>
      <c r="I2519" s="46"/>
      <c r="J2519" s="1"/>
      <c r="K2519" s="1" t="s">
        <v>21</v>
      </c>
      <c r="L2519" s="1"/>
      <c r="M2519" s="1"/>
      <c r="N2519" s="1"/>
      <c r="O2519" s="1"/>
      <c r="P2519" s="6"/>
      <c r="Q2519" s="1"/>
      <c r="R2519" s="1"/>
      <c r="S2519" s="1"/>
      <c r="T2519" s="1"/>
      <c r="U2519" s="1"/>
      <c r="V2519" s="1"/>
      <c r="W2519" s="1"/>
      <c r="X2519" s="1"/>
      <c r="Y2519" s="1"/>
      <c r="Z2519" s="1"/>
    </row>
    <row r="2520" customFormat="false" ht="21.75" hidden="false" customHeight="true" outlineLevel="0" collapsed="false">
      <c r="A2520" s="4" t="n">
        <v>43500</v>
      </c>
      <c r="B2520" s="46" t="s">
        <v>127</v>
      </c>
      <c r="C2520" s="46" t="s">
        <v>15</v>
      </c>
      <c r="D2520" s="55" t="s">
        <v>43</v>
      </c>
      <c r="E2520" s="55" t="s">
        <v>883</v>
      </c>
      <c r="F2520" s="46" t="s">
        <v>5865</v>
      </c>
      <c r="G2520" s="46" t="n">
        <f aca="false">+5930991962436</f>
        <v>5930991962436</v>
      </c>
      <c r="H2520" s="46" t="s">
        <v>5866</v>
      </c>
      <c r="I2520" s="46"/>
      <c r="J2520" s="1"/>
      <c r="K2520" s="1" t="s">
        <v>5867</v>
      </c>
      <c r="L2520" s="1"/>
      <c r="M2520" s="1"/>
      <c r="N2520" s="1"/>
      <c r="O2520" s="1"/>
      <c r="P2520" s="6"/>
      <c r="Q2520" s="1"/>
      <c r="R2520" s="1"/>
      <c r="S2520" s="1"/>
      <c r="T2520" s="1"/>
      <c r="U2520" s="1"/>
      <c r="V2520" s="1"/>
      <c r="W2520" s="1"/>
      <c r="X2520" s="1"/>
      <c r="Y2520" s="1"/>
      <c r="Z2520" s="1"/>
    </row>
    <row r="2521" customFormat="false" ht="21.75" hidden="false" customHeight="true" outlineLevel="0" collapsed="false">
      <c r="A2521" s="4" t="n">
        <v>43500</v>
      </c>
      <c r="B2521" s="46" t="s">
        <v>352</v>
      </c>
      <c r="C2521" s="46" t="s">
        <v>15</v>
      </c>
      <c r="D2521" s="55" t="s">
        <v>43</v>
      </c>
      <c r="E2521" s="55" t="s">
        <v>883</v>
      </c>
      <c r="F2521" s="46" t="s">
        <v>5868</v>
      </c>
      <c r="G2521" s="46" t="n">
        <f aca="false">+593987549685</f>
        <v>593987549685</v>
      </c>
      <c r="H2521" s="46" t="s">
        <v>5869</v>
      </c>
      <c r="I2521" s="46"/>
      <c r="J2521" s="1"/>
      <c r="K2521" s="1" t="s">
        <v>5870</v>
      </c>
      <c r="L2521" s="1"/>
      <c r="M2521" s="1"/>
      <c r="N2521" s="1"/>
      <c r="O2521" s="1"/>
      <c r="P2521" s="6"/>
      <c r="Q2521" s="1"/>
      <c r="R2521" s="1"/>
      <c r="S2521" s="1"/>
      <c r="T2521" s="1"/>
      <c r="U2521" s="1"/>
      <c r="V2521" s="1"/>
      <c r="W2521" s="1"/>
      <c r="X2521" s="1"/>
      <c r="Y2521" s="1"/>
      <c r="Z2521" s="1"/>
    </row>
    <row r="2522" customFormat="false" ht="21.75" hidden="false" customHeight="true" outlineLevel="0" collapsed="false">
      <c r="A2522" s="4" t="n">
        <v>43500</v>
      </c>
      <c r="B2522" s="46" t="s">
        <v>352</v>
      </c>
      <c r="C2522" s="46" t="s">
        <v>15</v>
      </c>
      <c r="D2522" s="55" t="s">
        <v>43</v>
      </c>
      <c r="E2522" s="55" t="s">
        <v>883</v>
      </c>
      <c r="F2522" s="46" t="s">
        <v>5871</v>
      </c>
      <c r="G2522" s="46" t="n">
        <f aca="false">+593999232406</f>
        <v>593999232406</v>
      </c>
      <c r="H2522" s="46" t="s">
        <v>5872</v>
      </c>
      <c r="I2522" s="46"/>
      <c r="J2522" s="1"/>
      <c r="K2522" s="1" t="s">
        <v>21</v>
      </c>
      <c r="L2522" s="1"/>
      <c r="M2522" s="1"/>
      <c r="N2522" s="1"/>
      <c r="O2522" s="1"/>
      <c r="P2522" s="6"/>
      <c r="Q2522" s="1"/>
      <c r="R2522" s="1"/>
      <c r="S2522" s="1"/>
      <c r="T2522" s="1"/>
      <c r="U2522" s="1"/>
      <c r="V2522" s="1"/>
      <c r="W2522" s="1"/>
      <c r="X2522" s="1"/>
      <c r="Y2522" s="1"/>
      <c r="Z2522" s="1"/>
    </row>
    <row r="2523" customFormat="false" ht="21.75" hidden="false" customHeight="true" outlineLevel="0" collapsed="false">
      <c r="A2523" s="4" t="n">
        <v>43500</v>
      </c>
      <c r="B2523" s="46" t="s">
        <v>48</v>
      </c>
      <c r="C2523" s="46" t="s">
        <v>15</v>
      </c>
      <c r="D2523" s="55" t="s">
        <v>43</v>
      </c>
      <c r="E2523" s="55" t="s">
        <v>883</v>
      </c>
      <c r="F2523" s="46" t="s">
        <v>5873</v>
      </c>
      <c r="G2523" s="46" t="n">
        <f aca="false">+593988266592</f>
        <v>593988266592</v>
      </c>
      <c r="H2523" s="46" t="s">
        <v>5874</v>
      </c>
      <c r="I2523" s="46"/>
      <c r="J2523" s="1"/>
      <c r="K2523" s="1" t="s">
        <v>21</v>
      </c>
      <c r="L2523" s="1"/>
      <c r="M2523" s="1"/>
      <c r="N2523" s="1"/>
      <c r="O2523" s="1"/>
      <c r="P2523" s="6"/>
      <c r="Q2523" s="1"/>
      <c r="R2523" s="1"/>
      <c r="S2523" s="1"/>
      <c r="T2523" s="1"/>
      <c r="U2523" s="1"/>
      <c r="V2523" s="1"/>
      <c r="W2523" s="1"/>
      <c r="X2523" s="1"/>
      <c r="Y2523" s="1"/>
      <c r="Z2523" s="1"/>
    </row>
    <row r="2524" customFormat="false" ht="21.75" hidden="false" customHeight="true" outlineLevel="0" collapsed="false">
      <c r="A2524" s="4" t="n">
        <v>43500</v>
      </c>
      <c r="B2524" s="46" t="s">
        <v>1114</v>
      </c>
      <c r="C2524" s="46" t="s">
        <v>26</v>
      </c>
      <c r="D2524" s="55" t="s">
        <v>43</v>
      </c>
      <c r="E2524" s="55" t="s">
        <v>883</v>
      </c>
      <c r="F2524" s="46" t="s">
        <v>5875</v>
      </c>
      <c r="G2524" s="46" t="n">
        <f aca="false">+5930984834558</f>
        <v>5930984834558</v>
      </c>
      <c r="H2524" s="46" t="s">
        <v>5876</v>
      </c>
      <c r="I2524" s="46"/>
      <c r="J2524" s="1"/>
      <c r="K2524" s="1" t="s">
        <v>21</v>
      </c>
      <c r="L2524" s="1"/>
      <c r="M2524" s="1"/>
      <c r="N2524" s="1"/>
      <c r="O2524" s="1"/>
      <c r="P2524" s="6"/>
      <c r="Q2524" s="1"/>
      <c r="R2524" s="1"/>
      <c r="S2524" s="1"/>
      <c r="T2524" s="1"/>
      <c r="U2524" s="1"/>
      <c r="V2524" s="1"/>
      <c r="W2524" s="1"/>
      <c r="X2524" s="1"/>
      <c r="Y2524" s="1"/>
      <c r="Z2524" s="1"/>
    </row>
    <row r="2525" customFormat="false" ht="21.75" hidden="false" customHeight="true" outlineLevel="0" collapsed="false">
      <c r="A2525" s="4" t="n">
        <v>43500</v>
      </c>
      <c r="B2525" s="46" t="s">
        <v>1114</v>
      </c>
      <c r="C2525" s="46" t="s">
        <v>15</v>
      </c>
      <c r="D2525" s="55" t="s">
        <v>43</v>
      </c>
      <c r="E2525" s="55" t="s">
        <v>883</v>
      </c>
      <c r="F2525" s="46" t="s">
        <v>5877</v>
      </c>
      <c r="G2525" s="46" t="n">
        <f aca="false">+5930999286765</f>
        <v>5930999286765</v>
      </c>
      <c r="H2525" s="46" t="s">
        <v>5878</v>
      </c>
      <c r="I2525" s="46"/>
      <c r="J2525" s="1"/>
      <c r="K2525" s="1" t="s">
        <v>21</v>
      </c>
      <c r="L2525" s="1"/>
      <c r="M2525" s="1"/>
      <c r="N2525" s="1"/>
      <c r="O2525" s="1"/>
      <c r="P2525" s="6"/>
      <c r="Q2525" s="1"/>
      <c r="R2525" s="1"/>
      <c r="S2525" s="1"/>
      <c r="T2525" s="1"/>
      <c r="U2525" s="1"/>
      <c r="V2525" s="1"/>
      <c r="W2525" s="1"/>
      <c r="X2525" s="1"/>
      <c r="Y2525" s="1"/>
      <c r="Z2525" s="1"/>
    </row>
    <row r="2526" customFormat="false" ht="21.75" hidden="false" customHeight="true" outlineLevel="0" collapsed="false">
      <c r="A2526" s="4" t="n">
        <v>43500</v>
      </c>
      <c r="B2526" s="46" t="s">
        <v>352</v>
      </c>
      <c r="C2526" s="46" t="s">
        <v>15</v>
      </c>
      <c r="D2526" s="55" t="s">
        <v>43</v>
      </c>
      <c r="E2526" s="55" t="s">
        <v>883</v>
      </c>
      <c r="F2526" s="46" t="s">
        <v>5879</v>
      </c>
      <c r="G2526" s="46" t="n">
        <f aca="false">+593993703694</f>
        <v>593993703694</v>
      </c>
      <c r="H2526" s="46" t="s">
        <v>5880</v>
      </c>
      <c r="I2526" s="46"/>
      <c r="J2526" s="1"/>
      <c r="K2526" s="1" t="s">
        <v>21</v>
      </c>
      <c r="L2526" s="1"/>
      <c r="M2526" s="1"/>
      <c r="N2526" s="1"/>
      <c r="O2526" s="1"/>
      <c r="P2526" s="6"/>
      <c r="Q2526" s="1"/>
      <c r="R2526" s="1"/>
      <c r="S2526" s="1"/>
      <c r="T2526" s="1"/>
      <c r="U2526" s="1"/>
      <c r="V2526" s="1"/>
      <c r="W2526" s="1"/>
      <c r="X2526" s="1"/>
      <c r="Y2526" s="1"/>
      <c r="Z2526" s="1"/>
    </row>
    <row r="2527" customFormat="false" ht="21.75" hidden="false" customHeight="true" outlineLevel="0" collapsed="false">
      <c r="A2527" s="4" t="n">
        <v>43500</v>
      </c>
      <c r="B2527" s="46" t="s">
        <v>1114</v>
      </c>
      <c r="C2527" s="46" t="s">
        <v>15</v>
      </c>
      <c r="D2527" s="55" t="s">
        <v>43</v>
      </c>
      <c r="E2527" s="55" t="s">
        <v>883</v>
      </c>
      <c r="F2527" s="46" t="s">
        <v>5881</v>
      </c>
      <c r="G2527" s="46" t="n">
        <f aca="false">+593980779281</f>
        <v>593980779281</v>
      </c>
      <c r="H2527" s="46" t="s">
        <v>5882</v>
      </c>
      <c r="I2527" s="46"/>
      <c r="J2527" s="1"/>
      <c r="K2527" s="1" t="s">
        <v>5883</v>
      </c>
      <c r="L2527" s="1"/>
      <c r="M2527" s="1"/>
      <c r="N2527" s="1"/>
      <c r="O2527" s="1"/>
      <c r="P2527" s="6"/>
      <c r="Q2527" s="1"/>
      <c r="R2527" s="1"/>
      <c r="S2527" s="1"/>
      <c r="T2527" s="1"/>
      <c r="U2527" s="1"/>
      <c r="V2527" s="1"/>
      <c r="W2527" s="1"/>
      <c r="X2527" s="1"/>
      <c r="Y2527" s="1"/>
      <c r="Z2527" s="1"/>
    </row>
    <row r="2528" customFormat="false" ht="21.75" hidden="false" customHeight="true" outlineLevel="0" collapsed="false">
      <c r="A2528" s="4" t="n">
        <v>43500</v>
      </c>
      <c r="B2528" s="46" t="s">
        <v>415</v>
      </c>
      <c r="C2528" s="46" t="s">
        <v>15</v>
      </c>
      <c r="D2528" s="55" t="s">
        <v>43</v>
      </c>
      <c r="E2528" s="55" t="s">
        <v>883</v>
      </c>
      <c r="F2528" s="46" t="s">
        <v>5884</v>
      </c>
      <c r="G2528" s="46" t="n">
        <f aca="false">+5930969578873</f>
        <v>5930969578873</v>
      </c>
      <c r="H2528" s="46" t="s">
        <v>5885</v>
      </c>
      <c r="I2528" s="46"/>
      <c r="J2528" s="1"/>
      <c r="K2528" s="1" t="s">
        <v>21</v>
      </c>
      <c r="L2528" s="1"/>
      <c r="M2528" s="1"/>
      <c r="N2528" s="1"/>
      <c r="O2528" s="1"/>
      <c r="P2528" s="6"/>
      <c r="Q2528" s="1"/>
      <c r="R2528" s="1"/>
      <c r="S2528" s="1"/>
      <c r="T2528" s="1"/>
      <c r="U2528" s="1"/>
      <c r="V2528" s="1"/>
      <c r="W2528" s="1"/>
      <c r="X2528" s="1"/>
      <c r="Y2528" s="1"/>
      <c r="Z2528" s="1"/>
    </row>
    <row r="2529" customFormat="false" ht="21.75" hidden="false" customHeight="true" outlineLevel="0" collapsed="false">
      <c r="A2529" s="4" t="n">
        <v>43500</v>
      </c>
      <c r="B2529" s="46" t="s">
        <v>1114</v>
      </c>
      <c r="C2529" s="46" t="s">
        <v>15</v>
      </c>
      <c r="D2529" s="55" t="s">
        <v>43</v>
      </c>
      <c r="E2529" s="55" t="s">
        <v>109</v>
      </c>
      <c r="F2529" s="46" t="s">
        <v>5886</v>
      </c>
      <c r="G2529" s="46" t="n">
        <f aca="false">+5930978972630</f>
        <v>5930978972630</v>
      </c>
      <c r="H2529" s="46" t="s">
        <v>5887</v>
      </c>
      <c r="I2529" s="46"/>
      <c r="J2529" s="1"/>
      <c r="K2529" s="1" t="s">
        <v>5888</v>
      </c>
      <c r="L2529" s="1"/>
      <c r="M2529" s="1"/>
      <c r="N2529" s="1"/>
      <c r="O2529" s="1"/>
      <c r="P2529" s="6"/>
      <c r="Q2529" s="1"/>
      <c r="R2529" s="1"/>
      <c r="S2529" s="1"/>
      <c r="T2529" s="1"/>
      <c r="U2529" s="1"/>
      <c r="V2529" s="1"/>
      <c r="W2529" s="1"/>
      <c r="X2529" s="1"/>
      <c r="Y2529" s="1"/>
      <c r="Z2529" s="1"/>
    </row>
    <row r="2530" customFormat="false" ht="21.75" hidden="false" customHeight="true" outlineLevel="0" collapsed="false">
      <c r="A2530" s="4" t="n">
        <v>43500</v>
      </c>
      <c r="B2530" s="46" t="s">
        <v>1478</v>
      </c>
      <c r="C2530" s="46" t="s">
        <v>15</v>
      </c>
      <c r="D2530" s="55" t="s">
        <v>43</v>
      </c>
      <c r="E2530" s="55" t="s">
        <v>109</v>
      </c>
      <c r="F2530" s="46" t="s">
        <v>5889</v>
      </c>
      <c r="G2530" s="46" t="n">
        <f aca="false">+5930979572633</f>
        <v>5930979572633</v>
      </c>
      <c r="H2530" s="46" t="s">
        <v>5890</v>
      </c>
      <c r="I2530" s="46"/>
      <c r="J2530" s="1"/>
      <c r="K2530" s="1" t="s">
        <v>1766</v>
      </c>
      <c r="L2530" s="1"/>
      <c r="M2530" s="1"/>
      <c r="N2530" s="1"/>
      <c r="O2530" s="1"/>
      <c r="P2530" s="6"/>
      <c r="Q2530" s="1"/>
      <c r="R2530" s="1"/>
      <c r="S2530" s="1"/>
      <c r="T2530" s="1"/>
      <c r="U2530" s="1"/>
      <c r="V2530" s="1"/>
      <c r="W2530" s="1"/>
      <c r="X2530" s="1"/>
      <c r="Y2530" s="1"/>
      <c r="Z2530" s="1"/>
    </row>
    <row r="2531" customFormat="false" ht="21.75" hidden="false" customHeight="true" outlineLevel="0" collapsed="false">
      <c r="A2531" s="4" t="n">
        <v>43500</v>
      </c>
      <c r="B2531" s="46" t="s">
        <v>48</v>
      </c>
      <c r="C2531" s="46" t="s">
        <v>26</v>
      </c>
      <c r="D2531" s="55" t="s">
        <v>43</v>
      </c>
      <c r="E2531" s="55" t="s">
        <v>109</v>
      </c>
      <c r="F2531" s="46" t="s">
        <v>5891</v>
      </c>
      <c r="G2531" s="46" t="n">
        <f aca="false">+593967570949</f>
        <v>593967570949</v>
      </c>
      <c r="H2531" s="46" t="s">
        <v>5892</v>
      </c>
      <c r="I2531" s="46"/>
      <c r="J2531" s="1"/>
      <c r="K2531" s="1" t="s">
        <v>21</v>
      </c>
      <c r="L2531" s="1"/>
      <c r="M2531" s="1"/>
      <c r="N2531" s="1"/>
      <c r="O2531" s="1"/>
      <c r="P2531" s="6"/>
      <c r="Q2531" s="1"/>
      <c r="R2531" s="1"/>
      <c r="S2531" s="1"/>
      <c r="T2531" s="1"/>
      <c r="U2531" s="1"/>
      <c r="V2531" s="1"/>
      <c r="W2531" s="1"/>
      <c r="X2531" s="1"/>
      <c r="Y2531" s="1"/>
      <c r="Z2531" s="1"/>
    </row>
    <row r="2532" customFormat="false" ht="21.75" hidden="false" customHeight="true" outlineLevel="0" collapsed="false">
      <c r="A2532" s="4" t="n">
        <v>43500</v>
      </c>
      <c r="B2532" s="46" t="s">
        <v>1114</v>
      </c>
      <c r="C2532" s="46" t="s">
        <v>15</v>
      </c>
      <c r="D2532" s="55" t="s">
        <v>43</v>
      </c>
      <c r="E2532" s="55" t="s">
        <v>109</v>
      </c>
      <c r="F2532" s="46" t="s">
        <v>5893</v>
      </c>
      <c r="G2532" s="46" t="n">
        <f aca="false">+593984767744</f>
        <v>593984767744</v>
      </c>
      <c r="H2532" s="46" t="s">
        <v>5894</v>
      </c>
      <c r="I2532" s="46"/>
      <c r="J2532" s="1"/>
      <c r="K2532" s="1" t="s">
        <v>21</v>
      </c>
      <c r="L2532" s="1"/>
      <c r="M2532" s="1"/>
      <c r="N2532" s="1"/>
      <c r="O2532" s="1"/>
      <c r="P2532" s="6"/>
      <c r="Q2532" s="1"/>
      <c r="R2532" s="1"/>
      <c r="S2532" s="1"/>
      <c r="T2532" s="1"/>
      <c r="U2532" s="1"/>
      <c r="V2532" s="1"/>
      <c r="W2532" s="1"/>
      <c r="X2532" s="1"/>
      <c r="Y2532" s="1"/>
      <c r="Z2532" s="1"/>
    </row>
    <row r="2533" customFormat="false" ht="21.75" hidden="false" customHeight="true" outlineLevel="0" collapsed="false">
      <c r="A2533" s="4" t="n">
        <v>43500</v>
      </c>
      <c r="B2533" s="46" t="s">
        <v>1106</v>
      </c>
      <c r="C2533" s="46" t="s">
        <v>15</v>
      </c>
      <c r="D2533" s="55" t="s">
        <v>43</v>
      </c>
      <c r="E2533" s="55" t="s">
        <v>109</v>
      </c>
      <c r="F2533" s="46" t="s">
        <v>5895</v>
      </c>
      <c r="G2533" s="46" t="n">
        <f aca="false">+593939695983</f>
        <v>593939695983</v>
      </c>
      <c r="H2533" s="46" t="s">
        <v>5896</v>
      </c>
      <c r="I2533" s="46"/>
      <c r="J2533" s="1"/>
      <c r="K2533" s="1" t="s">
        <v>5897</v>
      </c>
      <c r="L2533" s="1"/>
      <c r="M2533" s="1"/>
      <c r="N2533" s="1"/>
      <c r="O2533" s="1"/>
      <c r="P2533" s="6"/>
      <c r="Q2533" s="1"/>
      <c r="R2533" s="1"/>
      <c r="S2533" s="1"/>
      <c r="T2533" s="1"/>
      <c r="U2533" s="1"/>
      <c r="V2533" s="1"/>
      <c r="W2533" s="1"/>
      <c r="X2533" s="1"/>
      <c r="Y2533" s="1"/>
      <c r="Z2533" s="1"/>
    </row>
    <row r="2534" customFormat="false" ht="21.75" hidden="false" customHeight="true" outlineLevel="0" collapsed="false">
      <c r="A2534" s="4" t="n">
        <v>43500</v>
      </c>
      <c r="B2534" s="46" t="s">
        <v>127</v>
      </c>
      <c r="C2534" s="46" t="s">
        <v>15</v>
      </c>
      <c r="D2534" s="55" t="s">
        <v>43</v>
      </c>
      <c r="E2534" s="55" t="s">
        <v>109</v>
      </c>
      <c r="F2534" s="46" t="s">
        <v>5898</v>
      </c>
      <c r="G2534" s="46" t="n">
        <f aca="false">+5930978672867</f>
        <v>5930978672867</v>
      </c>
      <c r="H2534" s="46" t="s">
        <v>5899</v>
      </c>
      <c r="I2534" s="46"/>
      <c r="J2534" s="1"/>
      <c r="K2534" s="1" t="s">
        <v>5900</v>
      </c>
      <c r="L2534" s="1"/>
      <c r="M2534" s="1"/>
      <c r="N2534" s="1"/>
      <c r="O2534" s="1"/>
      <c r="P2534" s="6"/>
      <c r="Q2534" s="1"/>
      <c r="R2534" s="1"/>
      <c r="S2534" s="1"/>
      <c r="T2534" s="1"/>
      <c r="U2534" s="1"/>
      <c r="V2534" s="1"/>
      <c r="W2534" s="1"/>
      <c r="X2534" s="1"/>
      <c r="Y2534" s="1"/>
      <c r="Z2534" s="1"/>
    </row>
    <row r="2535" customFormat="false" ht="21.75" hidden="false" customHeight="true" outlineLevel="0" collapsed="false">
      <c r="A2535" s="4" t="n">
        <v>43500</v>
      </c>
      <c r="B2535" s="46" t="s">
        <v>48</v>
      </c>
      <c r="C2535" s="46" t="s">
        <v>15</v>
      </c>
      <c r="D2535" s="55" t="s">
        <v>43</v>
      </c>
      <c r="E2535" s="55" t="s">
        <v>109</v>
      </c>
      <c r="F2535" s="46" t="s">
        <v>5901</v>
      </c>
      <c r="G2535" s="46" t="n">
        <f aca="false">+593988116933</f>
        <v>593988116933</v>
      </c>
      <c r="H2535" s="46" t="s">
        <v>5902</v>
      </c>
      <c r="I2535" s="46"/>
      <c r="J2535" s="1"/>
      <c r="K2535" s="1" t="s">
        <v>21</v>
      </c>
      <c r="L2535" s="1"/>
      <c r="M2535" s="1"/>
      <c r="N2535" s="1"/>
      <c r="O2535" s="1"/>
      <c r="P2535" s="6"/>
      <c r="Q2535" s="1"/>
      <c r="R2535" s="1"/>
      <c r="S2535" s="1"/>
      <c r="T2535" s="1"/>
      <c r="U2535" s="1"/>
      <c r="V2535" s="1"/>
      <c r="W2535" s="1"/>
      <c r="X2535" s="1"/>
      <c r="Y2535" s="1"/>
      <c r="Z2535" s="1"/>
    </row>
    <row r="2536" customFormat="false" ht="21.75" hidden="false" customHeight="true" outlineLevel="0" collapsed="false">
      <c r="A2536" s="4" t="n">
        <v>43500</v>
      </c>
      <c r="B2536" s="46" t="s">
        <v>42</v>
      </c>
      <c r="C2536" s="46" t="s">
        <v>15</v>
      </c>
      <c r="D2536" s="55" t="s">
        <v>43</v>
      </c>
      <c r="E2536" s="55" t="s">
        <v>109</v>
      </c>
      <c r="F2536" s="46" t="s">
        <v>5903</v>
      </c>
      <c r="G2536" s="46" t="n">
        <f aca="false">+593990353435</f>
        <v>593990353435</v>
      </c>
      <c r="H2536" s="46" t="s">
        <v>5904</v>
      </c>
      <c r="I2536" s="46"/>
      <c r="J2536" s="1"/>
      <c r="K2536" s="1" t="s">
        <v>5905</v>
      </c>
      <c r="L2536" s="1"/>
      <c r="M2536" s="1"/>
      <c r="N2536" s="1"/>
      <c r="O2536" s="1"/>
      <c r="P2536" s="6"/>
      <c r="Q2536" s="1"/>
      <c r="R2536" s="1"/>
      <c r="S2536" s="1"/>
      <c r="T2536" s="1"/>
      <c r="U2536" s="1"/>
      <c r="V2536" s="1"/>
      <c r="W2536" s="1"/>
      <c r="X2536" s="1"/>
      <c r="Y2536" s="1"/>
      <c r="Z2536" s="1"/>
    </row>
    <row r="2537" customFormat="false" ht="21.75" hidden="false" customHeight="true" outlineLevel="0" collapsed="false">
      <c r="A2537" s="4" t="n">
        <v>43500</v>
      </c>
      <c r="B2537" s="46" t="s">
        <v>127</v>
      </c>
      <c r="C2537" s="46" t="s">
        <v>15</v>
      </c>
      <c r="D2537" s="55" t="s">
        <v>43</v>
      </c>
      <c r="E2537" s="55" t="s">
        <v>109</v>
      </c>
      <c r="F2537" s="46" t="s">
        <v>5906</v>
      </c>
      <c r="G2537" s="46" t="n">
        <f aca="false">+5930984404375</f>
        <v>5930984404375</v>
      </c>
      <c r="H2537" s="46" t="s">
        <v>5907</v>
      </c>
      <c r="I2537" s="46"/>
      <c r="J2537" s="1"/>
      <c r="K2537" s="1" t="s">
        <v>21</v>
      </c>
      <c r="L2537" s="1"/>
      <c r="M2537" s="1"/>
      <c r="N2537" s="1"/>
      <c r="O2537" s="1"/>
      <c r="P2537" s="6"/>
      <c r="Q2537" s="1"/>
      <c r="R2537" s="1"/>
      <c r="S2537" s="1"/>
      <c r="T2537" s="1"/>
      <c r="U2537" s="1"/>
      <c r="V2537" s="1"/>
      <c r="W2537" s="1"/>
      <c r="X2537" s="1"/>
      <c r="Y2537" s="1"/>
      <c r="Z2537" s="1"/>
    </row>
    <row r="2538" customFormat="false" ht="21.75" hidden="false" customHeight="true" outlineLevel="0" collapsed="false">
      <c r="A2538" s="4" t="n">
        <v>43500</v>
      </c>
      <c r="B2538" s="46" t="s">
        <v>352</v>
      </c>
      <c r="C2538" s="46" t="s">
        <v>15</v>
      </c>
      <c r="D2538" s="55" t="s">
        <v>43</v>
      </c>
      <c r="E2538" s="55" t="s">
        <v>109</v>
      </c>
      <c r="F2538" s="46" t="s">
        <v>5908</v>
      </c>
      <c r="G2538" s="46" t="n">
        <f aca="false">+593983686121</f>
        <v>593983686121</v>
      </c>
      <c r="H2538" s="46" t="s">
        <v>5909</v>
      </c>
      <c r="I2538" s="46"/>
      <c r="J2538" s="1"/>
      <c r="K2538" s="1" t="s">
        <v>5910</v>
      </c>
      <c r="L2538" s="1"/>
      <c r="M2538" s="1"/>
      <c r="N2538" s="1"/>
      <c r="O2538" s="1"/>
      <c r="P2538" s="6"/>
      <c r="Q2538" s="1"/>
      <c r="R2538" s="1"/>
      <c r="S2538" s="1"/>
      <c r="T2538" s="1"/>
      <c r="U2538" s="1"/>
      <c r="V2538" s="1"/>
      <c r="W2538" s="1"/>
      <c r="X2538" s="1"/>
      <c r="Y2538" s="1"/>
      <c r="Z2538" s="1"/>
    </row>
    <row r="2539" customFormat="false" ht="21.75" hidden="false" customHeight="true" outlineLevel="0" collapsed="false">
      <c r="A2539" s="4" t="n">
        <v>43500</v>
      </c>
      <c r="B2539" s="46" t="s">
        <v>42</v>
      </c>
      <c r="C2539" s="46" t="s">
        <v>15</v>
      </c>
      <c r="D2539" s="55" t="s">
        <v>43</v>
      </c>
      <c r="E2539" s="55" t="s">
        <v>109</v>
      </c>
      <c r="F2539" s="46" t="s">
        <v>5911</v>
      </c>
      <c r="G2539" s="46" t="n">
        <f aca="false">+593969949870</f>
        <v>593969949870</v>
      </c>
      <c r="H2539" s="46" t="s">
        <v>5912</v>
      </c>
      <c r="I2539" s="46"/>
      <c r="J2539" s="1"/>
      <c r="K2539" s="1" t="s">
        <v>5913</v>
      </c>
      <c r="L2539" s="1"/>
      <c r="M2539" s="1"/>
      <c r="N2539" s="1"/>
      <c r="O2539" s="1"/>
      <c r="P2539" s="6"/>
      <c r="Q2539" s="1"/>
      <c r="R2539" s="1"/>
      <c r="S2539" s="1"/>
      <c r="T2539" s="1"/>
      <c r="U2539" s="1"/>
      <c r="V2539" s="1"/>
      <c r="W2539" s="1"/>
      <c r="X2539" s="1"/>
      <c r="Y2539" s="1"/>
      <c r="Z2539" s="1"/>
    </row>
    <row r="2540" customFormat="false" ht="21.75" hidden="false" customHeight="true" outlineLevel="0" collapsed="false">
      <c r="A2540" s="4" t="n">
        <v>43500</v>
      </c>
      <c r="B2540" s="46" t="s">
        <v>1831</v>
      </c>
      <c r="C2540" s="46" t="s">
        <v>15</v>
      </c>
      <c r="D2540" s="55" t="s">
        <v>43</v>
      </c>
      <c r="E2540" s="55" t="s">
        <v>109</v>
      </c>
      <c r="F2540" s="46" t="s">
        <v>5914</v>
      </c>
      <c r="G2540" s="46" t="n">
        <f aca="false">+593984046464</f>
        <v>593984046464</v>
      </c>
      <c r="H2540" s="46" t="s">
        <v>5915</v>
      </c>
      <c r="I2540" s="46"/>
      <c r="J2540" s="1"/>
      <c r="K2540" s="1" t="s">
        <v>21</v>
      </c>
      <c r="L2540" s="1"/>
      <c r="M2540" s="1"/>
      <c r="N2540" s="1"/>
      <c r="O2540" s="1"/>
      <c r="P2540" s="6"/>
      <c r="Q2540" s="1"/>
      <c r="R2540" s="1"/>
      <c r="S2540" s="1"/>
      <c r="T2540" s="1"/>
      <c r="U2540" s="1"/>
      <c r="V2540" s="1"/>
      <c r="W2540" s="1"/>
      <c r="X2540" s="1"/>
      <c r="Y2540" s="1"/>
      <c r="Z2540" s="1"/>
    </row>
    <row r="2541" customFormat="false" ht="21.75" hidden="false" customHeight="true" outlineLevel="0" collapsed="false">
      <c r="A2541" s="4" t="n">
        <v>43500</v>
      </c>
      <c r="B2541" s="46" t="s">
        <v>48</v>
      </c>
      <c r="C2541" s="46" t="s">
        <v>15</v>
      </c>
      <c r="D2541" s="55" t="s">
        <v>43</v>
      </c>
      <c r="E2541" s="55" t="s">
        <v>109</v>
      </c>
      <c r="F2541" s="46" t="s">
        <v>5916</v>
      </c>
      <c r="G2541" s="46" t="n">
        <f aca="false">+593980846415</f>
        <v>593980846415</v>
      </c>
      <c r="H2541" s="46" t="s">
        <v>5917</v>
      </c>
      <c r="I2541" s="46"/>
      <c r="J2541" s="1"/>
      <c r="K2541" s="1" t="s">
        <v>5918</v>
      </c>
      <c r="L2541" s="1"/>
      <c r="M2541" s="1"/>
      <c r="N2541" s="1"/>
      <c r="O2541" s="1"/>
      <c r="P2541" s="6"/>
      <c r="Q2541" s="1"/>
      <c r="R2541" s="1"/>
      <c r="S2541" s="1"/>
      <c r="T2541" s="1"/>
      <c r="U2541" s="1"/>
      <c r="V2541" s="1"/>
      <c r="W2541" s="1"/>
      <c r="X2541" s="1"/>
      <c r="Y2541" s="1"/>
      <c r="Z2541" s="1"/>
    </row>
    <row r="2542" customFormat="false" ht="21.75" hidden="false" customHeight="true" outlineLevel="0" collapsed="false">
      <c r="A2542" s="4" t="n">
        <v>43500</v>
      </c>
      <c r="B2542" s="46" t="s">
        <v>1478</v>
      </c>
      <c r="C2542" s="46" t="s">
        <v>15</v>
      </c>
      <c r="D2542" s="55" t="s">
        <v>43</v>
      </c>
      <c r="E2542" s="55" t="s">
        <v>109</v>
      </c>
      <c r="F2542" s="46" t="s">
        <v>5919</v>
      </c>
      <c r="G2542" s="46" t="n">
        <f aca="false">+593968859419</f>
        <v>593968859419</v>
      </c>
      <c r="H2542" s="46" t="s">
        <v>5920</v>
      </c>
      <c r="I2542" s="46"/>
      <c r="J2542" s="1"/>
      <c r="K2542" s="1" t="s">
        <v>21</v>
      </c>
      <c r="L2542" s="1"/>
      <c r="M2542" s="1"/>
      <c r="N2542" s="1"/>
      <c r="O2542" s="1"/>
      <c r="P2542" s="6"/>
      <c r="Q2542" s="1"/>
      <c r="R2542" s="1"/>
      <c r="S2542" s="1"/>
      <c r="T2542" s="1"/>
      <c r="U2542" s="1"/>
      <c r="V2542" s="1"/>
      <c r="W2542" s="1"/>
      <c r="X2542" s="1"/>
      <c r="Y2542" s="1"/>
      <c r="Z2542" s="1"/>
    </row>
    <row r="2543" customFormat="false" ht="21.75" hidden="false" customHeight="true" outlineLevel="0" collapsed="false">
      <c r="A2543" s="4" t="n">
        <v>43500</v>
      </c>
      <c r="B2543" s="46" t="s">
        <v>81</v>
      </c>
      <c r="C2543" s="46" t="s">
        <v>15</v>
      </c>
      <c r="D2543" s="55" t="s">
        <v>43</v>
      </c>
      <c r="E2543" s="55" t="s">
        <v>109</v>
      </c>
      <c r="F2543" s="46" t="s">
        <v>5921</v>
      </c>
      <c r="G2543" s="46" t="n">
        <f aca="false">+593998390469</f>
        <v>593998390469</v>
      </c>
      <c r="H2543" s="46" t="s">
        <v>5922</v>
      </c>
      <c r="I2543" s="46"/>
      <c r="J2543" s="1"/>
      <c r="K2543" s="1" t="s">
        <v>21</v>
      </c>
      <c r="L2543" s="1"/>
      <c r="M2543" s="1"/>
      <c r="N2543" s="1"/>
      <c r="O2543" s="1"/>
      <c r="P2543" s="6"/>
      <c r="Q2543" s="1"/>
      <c r="R2543" s="1"/>
      <c r="S2543" s="1"/>
      <c r="T2543" s="1"/>
      <c r="U2543" s="1"/>
      <c r="V2543" s="1"/>
      <c r="W2543" s="1"/>
      <c r="X2543" s="1"/>
      <c r="Y2543" s="1"/>
      <c r="Z2543" s="1"/>
    </row>
    <row r="2544" customFormat="false" ht="21.75" hidden="false" customHeight="true" outlineLevel="0" collapsed="false">
      <c r="A2544" s="4" t="n">
        <v>43500</v>
      </c>
      <c r="B2544" s="46" t="s">
        <v>352</v>
      </c>
      <c r="C2544" s="46" t="s">
        <v>15</v>
      </c>
      <c r="D2544" s="55" t="s">
        <v>43</v>
      </c>
      <c r="E2544" s="55" t="s">
        <v>109</v>
      </c>
      <c r="F2544" s="46" t="s">
        <v>5923</v>
      </c>
      <c r="G2544" s="57" t="n">
        <v>986915687</v>
      </c>
      <c r="H2544" s="46" t="s">
        <v>5924</v>
      </c>
      <c r="I2544" s="46"/>
      <c r="J2544" s="1"/>
      <c r="K2544" s="1" t="s">
        <v>5925</v>
      </c>
      <c r="L2544" s="1"/>
      <c r="M2544" s="1"/>
      <c r="N2544" s="1"/>
      <c r="O2544" s="1"/>
      <c r="P2544" s="6"/>
      <c r="Q2544" s="1"/>
      <c r="R2544" s="1"/>
      <c r="S2544" s="1"/>
      <c r="T2544" s="1"/>
      <c r="U2544" s="1"/>
      <c r="V2544" s="1"/>
      <c r="W2544" s="1"/>
      <c r="X2544" s="1"/>
      <c r="Y2544" s="1"/>
      <c r="Z2544" s="1"/>
    </row>
    <row r="2545" customFormat="false" ht="21.75" hidden="false" customHeight="true" outlineLevel="0" collapsed="false">
      <c r="A2545" s="4" t="n">
        <v>43500</v>
      </c>
      <c r="B2545" s="46" t="s">
        <v>1478</v>
      </c>
      <c r="C2545" s="46" t="s">
        <v>15</v>
      </c>
      <c r="D2545" s="55" t="s">
        <v>43</v>
      </c>
      <c r="E2545" s="55" t="s">
        <v>109</v>
      </c>
      <c r="F2545" s="46" t="s">
        <v>5926</v>
      </c>
      <c r="G2545" s="46" t="n">
        <f aca="false">+593983073607</f>
        <v>593983073607</v>
      </c>
      <c r="H2545" s="46" t="s">
        <v>5927</v>
      </c>
      <c r="I2545" s="46"/>
      <c r="J2545" s="1"/>
      <c r="K2545" s="1" t="s">
        <v>21</v>
      </c>
      <c r="L2545" s="1"/>
      <c r="M2545" s="1"/>
      <c r="N2545" s="1"/>
      <c r="O2545" s="1"/>
      <c r="P2545" s="6"/>
      <c r="Q2545" s="1"/>
      <c r="R2545" s="1"/>
      <c r="S2545" s="1"/>
      <c r="T2545" s="1"/>
      <c r="U2545" s="1"/>
      <c r="V2545" s="1"/>
      <c r="W2545" s="1"/>
      <c r="X2545" s="1"/>
      <c r="Y2545" s="1"/>
      <c r="Z2545" s="1"/>
    </row>
    <row r="2546" customFormat="false" ht="21.75" hidden="false" customHeight="true" outlineLevel="0" collapsed="false">
      <c r="A2546" s="4" t="n">
        <v>43500</v>
      </c>
      <c r="B2546" s="46" t="s">
        <v>1114</v>
      </c>
      <c r="C2546" s="46" t="s">
        <v>15</v>
      </c>
      <c r="D2546" s="55" t="s">
        <v>43</v>
      </c>
      <c r="E2546" s="55" t="s">
        <v>109</v>
      </c>
      <c r="F2546" s="46" t="s">
        <v>5928</v>
      </c>
      <c r="G2546" s="46" t="n">
        <f aca="false">+593999683441</f>
        <v>593999683441</v>
      </c>
      <c r="H2546" s="46" t="s">
        <v>5929</v>
      </c>
      <c r="I2546" s="46"/>
      <c r="J2546" s="1"/>
      <c r="K2546" s="1" t="s">
        <v>21</v>
      </c>
      <c r="L2546" s="1"/>
      <c r="M2546" s="1"/>
      <c r="N2546" s="1"/>
      <c r="O2546" s="1"/>
      <c r="P2546" s="6"/>
      <c r="Q2546" s="1"/>
      <c r="R2546" s="1"/>
      <c r="S2546" s="1"/>
      <c r="T2546" s="1"/>
      <c r="U2546" s="1"/>
      <c r="V2546" s="1"/>
      <c r="W2546" s="1"/>
      <c r="X2546" s="1"/>
      <c r="Y2546" s="1"/>
      <c r="Z2546" s="1"/>
    </row>
    <row r="2547" customFormat="false" ht="21.75" hidden="false" customHeight="true" outlineLevel="0" collapsed="false">
      <c r="A2547" s="4" t="n">
        <v>43500</v>
      </c>
      <c r="B2547" s="46" t="s">
        <v>323</v>
      </c>
      <c r="C2547" s="46" t="s">
        <v>15</v>
      </c>
      <c r="D2547" s="55" t="s">
        <v>43</v>
      </c>
      <c r="E2547" s="55" t="s">
        <v>109</v>
      </c>
      <c r="F2547" s="46" t="s">
        <v>5930</v>
      </c>
      <c r="G2547" s="57" t="n">
        <v>939659464</v>
      </c>
      <c r="H2547" s="46" t="s">
        <v>5931</v>
      </c>
      <c r="I2547" s="46"/>
      <c r="J2547" s="1"/>
      <c r="K2547" s="1" t="s">
        <v>4863</v>
      </c>
      <c r="L2547" s="1"/>
      <c r="M2547" s="1"/>
      <c r="N2547" s="1"/>
      <c r="O2547" s="1"/>
      <c r="P2547" s="6"/>
      <c r="Q2547" s="1"/>
      <c r="R2547" s="1"/>
      <c r="S2547" s="1"/>
      <c r="T2547" s="1"/>
      <c r="U2547" s="1"/>
      <c r="V2547" s="1"/>
      <c r="W2547" s="1"/>
      <c r="X2547" s="1"/>
      <c r="Y2547" s="1"/>
      <c r="Z2547" s="1"/>
    </row>
    <row r="2548" customFormat="false" ht="21.75" hidden="false" customHeight="true" outlineLevel="0" collapsed="false">
      <c r="A2548" s="4" t="n">
        <v>43500</v>
      </c>
      <c r="B2548" s="46" t="s">
        <v>532</v>
      </c>
      <c r="C2548" s="46" t="s">
        <v>15</v>
      </c>
      <c r="D2548" s="55" t="s">
        <v>43</v>
      </c>
      <c r="E2548" s="55" t="s">
        <v>109</v>
      </c>
      <c r="F2548" s="46" t="s">
        <v>5932</v>
      </c>
      <c r="G2548" s="46" t="n">
        <f aca="false">+593995155807</f>
        <v>593995155807</v>
      </c>
      <c r="H2548" s="46" t="s">
        <v>5933</v>
      </c>
      <c r="I2548" s="46"/>
      <c r="J2548" s="1"/>
      <c r="K2548" s="1" t="s">
        <v>21</v>
      </c>
      <c r="L2548" s="1"/>
      <c r="M2548" s="1"/>
      <c r="N2548" s="1"/>
      <c r="O2548" s="1"/>
      <c r="P2548" s="6"/>
      <c r="Q2548" s="1"/>
      <c r="R2548" s="1"/>
      <c r="S2548" s="1"/>
      <c r="T2548" s="1"/>
      <c r="U2548" s="1"/>
      <c r="V2548" s="1"/>
      <c r="W2548" s="1"/>
      <c r="X2548" s="1"/>
      <c r="Y2548" s="1"/>
      <c r="Z2548" s="1"/>
    </row>
    <row r="2549" customFormat="false" ht="21.75" hidden="false" customHeight="true" outlineLevel="0" collapsed="false">
      <c r="A2549" s="4" t="n">
        <v>43500</v>
      </c>
      <c r="B2549" s="46" t="s">
        <v>127</v>
      </c>
      <c r="C2549" s="46" t="s">
        <v>15</v>
      </c>
      <c r="D2549" s="55" t="s">
        <v>43</v>
      </c>
      <c r="E2549" s="55" t="s">
        <v>109</v>
      </c>
      <c r="F2549" s="46" t="s">
        <v>5934</v>
      </c>
      <c r="G2549" s="57" t="n">
        <v>961009483</v>
      </c>
      <c r="H2549" s="46" t="s">
        <v>5935</v>
      </c>
      <c r="I2549" s="46"/>
      <c r="J2549" s="1"/>
      <c r="K2549" s="1" t="s">
        <v>5936</v>
      </c>
      <c r="L2549" s="1"/>
      <c r="M2549" s="1"/>
      <c r="N2549" s="1"/>
      <c r="O2549" s="1"/>
      <c r="P2549" s="6"/>
      <c r="Q2549" s="1"/>
      <c r="R2549" s="1"/>
      <c r="S2549" s="1"/>
      <c r="T2549" s="1"/>
      <c r="U2549" s="1"/>
      <c r="V2549" s="1"/>
      <c r="W2549" s="1"/>
      <c r="X2549" s="1"/>
      <c r="Y2549" s="1"/>
      <c r="Z2549" s="1"/>
    </row>
    <row r="2550" customFormat="false" ht="21.75" hidden="false" customHeight="true" outlineLevel="0" collapsed="false">
      <c r="A2550" s="4" t="n">
        <v>43500</v>
      </c>
      <c r="B2550" s="46" t="s">
        <v>48</v>
      </c>
      <c r="C2550" s="46" t="s">
        <v>15</v>
      </c>
      <c r="D2550" s="55" t="s">
        <v>43</v>
      </c>
      <c r="E2550" s="55" t="s">
        <v>109</v>
      </c>
      <c r="F2550" s="46" t="s">
        <v>5937</v>
      </c>
      <c r="G2550" s="46" t="n">
        <f aca="false">+5930991596619</f>
        <v>5930991596619</v>
      </c>
      <c r="H2550" s="46" t="s">
        <v>5938</v>
      </c>
      <c r="I2550" s="46"/>
      <c r="J2550" s="1"/>
      <c r="K2550" s="1" t="s">
        <v>21</v>
      </c>
      <c r="L2550" s="1"/>
      <c r="M2550" s="1"/>
      <c r="N2550" s="1"/>
      <c r="O2550" s="1"/>
      <c r="P2550" s="6"/>
      <c r="Q2550" s="1"/>
      <c r="R2550" s="1"/>
      <c r="S2550" s="1"/>
      <c r="T2550" s="1"/>
      <c r="U2550" s="1"/>
      <c r="V2550" s="1"/>
      <c r="W2550" s="1"/>
      <c r="X2550" s="1"/>
      <c r="Y2550" s="1"/>
      <c r="Z2550" s="1"/>
    </row>
    <row r="2551" customFormat="false" ht="21.75" hidden="false" customHeight="true" outlineLevel="0" collapsed="false">
      <c r="A2551" s="4" t="n">
        <v>43500</v>
      </c>
      <c r="B2551" s="46" t="s">
        <v>1114</v>
      </c>
      <c r="C2551" s="46" t="s">
        <v>15</v>
      </c>
      <c r="D2551" s="55" t="s">
        <v>43</v>
      </c>
      <c r="E2551" s="55" t="s">
        <v>109</v>
      </c>
      <c r="F2551" s="46" t="s">
        <v>5939</v>
      </c>
      <c r="G2551" s="46" t="n">
        <f aca="false">+593984315708</f>
        <v>593984315708</v>
      </c>
      <c r="H2551" s="46" t="s">
        <v>5940</v>
      </c>
      <c r="I2551" s="46"/>
      <c r="J2551" s="1"/>
      <c r="K2551" s="1" t="s">
        <v>21</v>
      </c>
      <c r="L2551" s="1"/>
      <c r="M2551" s="1"/>
      <c r="N2551" s="1"/>
      <c r="O2551" s="1"/>
      <c r="P2551" s="6"/>
      <c r="Q2551" s="1"/>
      <c r="R2551" s="1"/>
      <c r="S2551" s="1"/>
      <c r="T2551" s="1"/>
      <c r="U2551" s="1"/>
      <c r="V2551" s="1"/>
      <c r="W2551" s="1"/>
      <c r="X2551" s="1"/>
      <c r="Y2551" s="1"/>
      <c r="Z2551" s="1"/>
    </row>
    <row r="2552" customFormat="false" ht="21.75" hidden="false" customHeight="true" outlineLevel="0" collapsed="false">
      <c r="A2552" s="4" t="n">
        <v>43500</v>
      </c>
      <c r="B2552" s="46" t="s">
        <v>1114</v>
      </c>
      <c r="C2552" s="46" t="s">
        <v>15</v>
      </c>
      <c r="D2552" s="55" t="s">
        <v>43</v>
      </c>
      <c r="E2552" s="55" t="s">
        <v>109</v>
      </c>
      <c r="F2552" s="46" t="s">
        <v>5941</v>
      </c>
      <c r="G2552" s="46" t="n">
        <f aca="false">+59346016191</f>
        <v>59346016191</v>
      </c>
      <c r="H2552" s="46" t="s">
        <v>5942</v>
      </c>
      <c r="I2552" s="46"/>
      <c r="J2552" s="1"/>
      <c r="K2552" s="1" t="s">
        <v>673</v>
      </c>
      <c r="L2552" s="1"/>
      <c r="M2552" s="1"/>
      <c r="N2552" s="1"/>
      <c r="O2552" s="1"/>
      <c r="P2552" s="6"/>
      <c r="Q2552" s="1"/>
      <c r="R2552" s="1"/>
      <c r="S2552" s="1"/>
      <c r="T2552" s="1"/>
      <c r="U2552" s="1"/>
      <c r="V2552" s="1"/>
      <c r="W2552" s="1"/>
      <c r="X2552" s="1"/>
      <c r="Y2552" s="1"/>
      <c r="Z2552" s="1"/>
    </row>
    <row r="2553" customFormat="false" ht="21.75" hidden="false" customHeight="true" outlineLevel="0" collapsed="false">
      <c r="A2553" s="4" t="n">
        <v>43500</v>
      </c>
      <c r="B2553" s="46" t="s">
        <v>48</v>
      </c>
      <c r="C2553" s="46" t="s">
        <v>15</v>
      </c>
      <c r="D2553" s="55" t="s">
        <v>43</v>
      </c>
      <c r="E2553" s="55" t="s">
        <v>109</v>
      </c>
      <c r="F2553" s="46" t="s">
        <v>5943</v>
      </c>
      <c r="G2553" s="46" t="n">
        <f aca="false">+5930968101624</f>
        <v>5930968101624</v>
      </c>
      <c r="H2553" s="46" t="s">
        <v>5944</v>
      </c>
      <c r="I2553" s="46"/>
      <c r="J2553" s="1"/>
      <c r="K2553" s="1" t="s">
        <v>5754</v>
      </c>
      <c r="L2553" s="1"/>
      <c r="M2553" s="1"/>
      <c r="N2553" s="1"/>
      <c r="O2553" s="1"/>
      <c r="P2553" s="6"/>
      <c r="Q2553" s="1"/>
      <c r="R2553" s="1"/>
      <c r="S2553" s="1"/>
      <c r="T2553" s="1"/>
      <c r="U2553" s="1"/>
      <c r="V2553" s="1"/>
      <c r="W2553" s="1"/>
      <c r="X2553" s="1"/>
      <c r="Y2553" s="1"/>
      <c r="Z2553" s="1"/>
    </row>
    <row r="2554" customFormat="false" ht="21.75" hidden="false" customHeight="true" outlineLevel="0" collapsed="false">
      <c r="A2554" s="4" t="n">
        <v>43500</v>
      </c>
      <c r="B2554" s="46" t="s">
        <v>1114</v>
      </c>
      <c r="C2554" s="46" t="s">
        <v>15</v>
      </c>
      <c r="D2554" s="55" t="s">
        <v>43</v>
      </c>
      <c r="E2554" s="55" t="s">
        <v>109</v>
      </c>
      <c r="F2554" s="46" t="s">
        <v>5945</v>
      </c>
      <c r="G2554" s="57" t="n">
        <v>982016409</v>
      </c>
      <c r="H2554" s="46" t="s">
        <v>5946</v>
      </c>
      <c r="I2554" s="46"/>
      <c r="J2554" s="1"/>
      <c r="K2554" s="1" t="s">
        <v>21</v>
      </c>
      <c r="L2554" s="1"/>
      <c r="M2554" s="1"/>
      <c r="N2554" s="1"/>
      <c r="O2554" s="1"/>
      <c r="P2554" s="6"/>
      <c r="Q2554" s="1"/>
      <c r="R2554" s="1"/>
      <c r="S2554" s="1"/>
      <c r="T2554" s="1"/>
      <c r="U2554" s="1"/>
      <c r="V2554" s="1"/>
      <c r="W2554" s="1"/>
      <c r="X2554" s="1"/>
      <c r="Y2554" s="1"/>
      <c r="Z2554" s="1"/>
    </row>
    <row r="2555" customFormat="false" ht="21.75" hidden="false" customHeight="true" outlineLevel="0" collapsed="false">
      <c r="A2555" s="4" t="n">
        <v>43500</v>
      </c>
      <c r="B2555" s="46" t="s">
        <v>352</v>
      </c>
      <c r="C2555" s="46" t="s">
        <v>15</v>
      </c>
      <c r="D2555" s="55" t="s">
        <v>43</v>
      </c>
      <c r="E2555" s="55" t="s">
        <v>109</v>
      </c>
      <c r="F2555" s="46" t="s">
        <v>5947</v>
      </c>
      <c r="G2555" s="46" t="n">
        <f aca="false">+593967290504</f>
        <v>593967290504</v>
      </c>
      <c r="H2555" s="46" t="s">
        <v>5948</v>
      </c>
      <c r="I2555" s="46"/>
      <c r="J2555" s="1"/>
      <c r="K2555" s="1" t="s">
        <v>21</v>
      </c>
      <c r="L2555" s="1"/>
      <c r="M2555" s="1"/>
      <c r="N2555" s="1"/>
      <c r="O2555" s="1"/>
      <c r="P2555" s="6"/>
      <c r="Q2555" s="1"/>
      <c r="R2555" s="1"/>
      <c r="S2555" s="1"/>
      <c r="T2555" s="1"/>
      <c r="U2555" s="1"/>
      <c r="V2555" s="1"/>
      <c r="W2555" s="1"/>
      <c r="X2555" s="1"/>
      <c r="Y2555" s="1"/>
      <c r="Z2555" s="1"/>
    </row>
    <row r="2556" customFormat="false" ht="21.75" hidden="false" customHeight="true" outlineLevel="0" collapsed="false">
      <c r="A2556" s="4" t="n">
        <v>43500</v>
      </c>
      <c r="B2556" s="46" t="s">
        <v>1114</v>
      </c>
      <c r="C2556" s="46" t="s">
        <v>15</v>
      </c>
      <c r="D2556" s="55" t="s">
        <v>43</v>
      </c>
      <c r="E2556" s="55" t="s">
        <v>109</v>
      </c>
      <c r="F2556" s="46" t="s">
        <v>5949</v>
      </c>
      <c r="G2556" s="46" t="n">
        <f aca="false">+593982420314</f>
        <v>593982420314</v>
      </c>
      <c r="H2556" s="46" t="s">
        <v>5950</v>
      </c>
      <c r="I2556" s="46"/>
      <c r="J2556" s="1"/>
      <c r="K2556" s="1" t="s">
        <v>5951</v>
      </c>
      <c r="L2556" s="1"/>
      <c r="M2556" s="1"/>
      <c r="N2556" s="1"/>
      <c r="O2556" s="1"/>
      <c r="P2556" s="6"/>
      <c r="Q2556" s="1"/>
      <c r="R2556" s="1"/>
      <c r="S2556" s="1"/>
      <c r="T2556" s="1"/>
      <c r="U2556" s="1"/>
      <c r="V2556" s="1"/>
      <c r="W2556" s="1"/>
      <c r="X2556" s="1"/>
      <c r="Y2556" s="1"/>
      <c r="Z2556" s="1"/>
    </row>
    <row r="2557" customFormat="false" ht="21.75" hidden="false" customHeight="true" outlineLevel="0" collapsed="false">
      <c r="A2557" s="4" t="n">
        <v>43500</v>
      </c>
      <c r="B2557" s="46" t="s">
        <v>352</v>
      </c>
      <c r="C2557" s="46" t="s">
        <v>15</v>
      </c>
      <c r="D2557" s="55" t="s">
        <v>43</v>
      </c>
      <c r="E2557" s="55" t="s">
        <v>109</v>
      </c>
      <c r="F2557" s="46" t="s">
        <v>5952</v>
      </c>
      <c r="G2557" s="46" t="n">
        <f aca="false">+593989085643</f>
        <v>593989085643</v>
      </c>
      <c r="H2557" s="46" t="s">
        <v>5953</v>
      </c>
      <c r="I2557" s="46"/>
      <c r="J2557" s="1"/>
      <c r="K2557" s="1" t="s">
        <v>4352</v>
      </c>
      <c r="L2557" s="1"/>
      <c r="M2557" s="1"/>
      <c r="N2557" s="1"/>
      <c r="O2557" s="1"/>
      <c r="P2557" s="6"/>
      <c r="Q2557" s="1"/>
      <c r="R2557" s="1"/>
      <c r="S2557" s="1"/>
      <c r="T2557" s="1"/>
      <c r="U2557" s="1"/>
      <c r="V2557" s="1"/>
      <c r="W2557" s="1"/>
      <c r="X2557" s="1"/>
      <c r="Y2557" s="1"/>
      <c r="Z2557" s="1"/>
    </row>
    <row r="2558" customFormat="false" ht="21.75" hidden="false" customHeight="true" outlineLevel="0" collapsed="false">
      <c r="A2558" s="4" t="n">
        <v>43500</v>
      </c>
      <c r="B2558" s="46" t="s">
        <v>42</v>
      </c>
      <c r="C2558" s="46" t="s">
        <v>15</v>
      </c>
      <c r="D2558" s="55" t="s">
        <v>43</v>
      </c>
      <c r="E2558" s="55" t="s">
        <v>109</v>
      </c>
      <c r="F2558" s="46" t="s">
        <v>5954</v>
      </c>
      <c r="G2558" s="46" t="n">
        <f aca="false">+593997840010</f>
        <v>593997840010</v>
      </c>
      <c r="H2558" s="46" t="s">
        <v>5955</v>
      </c>
      <c r="I2558" s="46"/>
      <c r="J2558" s="1"/>
      <c r="K2558" s="1" t="s">
        <v>21</v>
      </c>
      <c r="L2558" s="1"/>
      <c r="M2558" s="1"/>
      <c r="N2558" s="1"/>
      <c r="O2558" s="1"/>
      <c r="P2558" s="6"/>
      <c r="Q2558" s="1"/>
      <c r="R2558" s="1"/>
      <c r="S2558" s="1"/>
      <c r="T2558" s="1"/>
      <c r="U2558" s="1"/>
      <c r="V2558" s="1"/>
      <c r="W2558" s="1"/>
      <c r="X2558" s="1"/>
      <c r="Y2558" s="1"/>
      <c r="Z2558" s="1"/>
    </row>
    <row r="2559" customFormat="false" ht="21.75" hidden="false" customHeight="true" outlineLevel="0" collapsed="false">
      <c r="A2559" s="4" t="n">
        <v>43500</v>
      </c>
      <c r="B2559" s="46" t="s">
        <v>532</v>
      </c>
      <c r="C2559" s="46" t="s">
        <v>15</v>
      </c>
      <c r="D2559" s="55" t="s">
        <v>43</v>
      </c>
      <c r="E2559" s="55" t="s">
        <v>109</v>
      </c>
      <c r="F2559" s="46" t="s">
        <v>5956</v>
      </c>
      <c r="G2559" s="46" t="n">
        <f aca="false">+593999837651</f>
        <v>593999837651</v>
      </c>
      <c r="H2559" s="46" t="s">
        <v>5957</v>
      </c>
      <c r="I2559" s="46"/>
      <c r="J2559" s="1"/>
      <c r="K2559" s="1" t="s">
        <v>21</v>
      </c>
      <c r="L2559" s="1"/>
      <c r="M2559" s="1"/>
      <c r="N2559" s="1"/>
      <c r="O2559" s="1"/>
      <c r="P2559" s="6"/>
      <c r="Q2559" s="1"/>
      <c r="R2559" s="1"/>
      <c r="S2559" s="1"/>
      <c r="T2559" s="1"/>
      <c r="U2559" s="1"/>
      <c r="V2559" s="1"/>
      <c r="W2559" s="1"/>
      <c r="X2559" s="1"/>
      <c r="Y2559" s="1"/>
      <c r="Z2559" s="1"/>
    </row>
    <row r="2560" customFormat="false" ht="21.75" hidden="false" customHeight="true" outlineLevel="0" collapsed="false">
      <c r="A2560" s="4" t="n">
        <v>43500</v>
      </c>
      <c r="B2560" s="46" t="s">
        <v>178</v>
      </c>
      <c r="C2560" s="46" t="s">
        <v>15</v>
      </c>
      <c r="D2560" s="55" t="s">
        <v>43</v>
      </c>
      <c r="E2560" s="55" t="s">
        <v>109</v>
      </c>
      <c r="F2560" s="46" t="s">
        <v>5958</v>
      </c>
      <c r="G2560" s="46" t="n">
        <f aca="false">+593939419351</f>
        <v>593939419351</v>
      </c>
      <c r="H2560" s="46" t="s">
        <v>5959</v>
      </c>
      <c r="I2560" s="46"/>
      <c r="J2560" s="1"/>
      <c r="K2560" s="1" t="s">
        <v>21</v>
      </c>
      <c r="L2560" s="1"/>
      <c r="M2560" s="1"/>
      <c r="N2560" s="1"/>
      <c r="O2560" s="1"/>
      <c r="P2560" s="6"/>
      <c r="Q2560" s="1"/>
      <c r="R2560" s="1"/>
      <c r="S2560" s="1"/>
      <c r="T2560" s="1"/>
      <c r="U2560" s="1"/>
      <c r="V2560" s="1"/>
      <c r="W2560" s="1"/>
      <c r="X2560" s="1"/>
      <c r="Y2560" s="1"/>
      <c r="Z2560" s="1"/>
    </row>
    <row r="2561" customFormat="false" ht="21.75" hidden="false" customHeight="true" outlineLevel="0" collapsed="false">
      <c r="A2561" s="4" t="n">
        <v>43500</v>
      </c>
      <c r="B2561" s="46" t="s">
        <v>532</v>
      </c>
      <c r="C2561" s="46" t="s">
        <v>15</v>
      </c>
      <c r="D2561" s="55" t="s">
        <v>43</v>
      </c>
      <c r="E2561" s="55" t="s">
        <v>109</v>
      </c>
      <c r="F2561" s="46" t="s">
        <v>5960</v>
      </c>
      <c r="G2561" s="46" t="n">
        <f aca="false">+593939190375</f>
        <v>593939190375</v>
      </c>
      <c r="H2561" s="46" t="s">
        <v>5961</v>
      </c>
      <c r="I2561" s="46"/>
      <c r="J2561" s="1"/>
      <c r="K2561" s="1" t="s">
        <v>21</v>
      </c>
      <c r="L2561" s="1"/>
      <c r="M2561" s="1"/>
      <c r="N2561" s="1"/>
      <c r="O2561" s="1"/>
      <c r="P2561" s="6"/>
      <c r="Q2561" s="1"/>
      <c r="R2561" s="1"/>
      <c r="S2561" s="1"/>
      <c r="T2561" s="1"/>
      <c r="U2561" s="1"/>
      <c r="V2561" s="1"/>
      <c r="W2561" s="1"/>
      <c r="X2561" s="1"/>
      <c r="Y2561" s="1"/>
      <c r="Z2561" s="1"/>
    </row>
    <row r="2562" customFormat="false" ht="21.75" hidden="false" customHeight="true" outlineLevel="0" collapsed="false">
      <c r="A2562" s="4" t="n">
        <v>43500</v>
      </c>
      <c r="B2562" s="46" t="s">
        <v>48</v>
      </c>
      <c r="C2562" s="46" t="s">
        <v>15</v>
      </c>
      <c r="D2562" s="55" t="s">
        <v>43</v>
      </c>
      <c r="E2562" s="55" t="s">
        <v>109</v>
      </c>
      <c r="F2562" s="46" t="s">
        <v>5962</v>
      </c>
      <c r="G2562" s="46" t="n">
        <f aca="false">+593981297380</f>
        <v>593981297380</v>
      </c>
      <c r="H2562" s="46" t="s">
        <v>5963</v>
      </c>
      <c r="I2562" s="46"/>
      <c r="J2562" s="1"/>
      <c r="K2562" s="1" t="s">
        <v>21</v>
      </c>
      <c r="L2562" s="1"/>
      <c r="M2562" s="1"/>
      <c r="N2562" s="1"/>
      <c r="O2562" s="1"/>
      <c r="P2562" s="6"/>
      <c r="Q2562" s="1"/>
      <c r="R2562" s="1"/>
      <c r="S2562" s="1"/>
      <c r="T2562" s="1"/>
      <c r="U2562" s="1"/>
      <c r="V2562" s="1"/>
      <c r="W2562" s="1"/>
      <c r="X2562" s="1"/>
      <c r="Y2562" s="1"/>
      <c r="Z2562" s="1"/>
    </row>
    <row r="2563" customFormat="false" ht="21.75" hidden="false" customHeight="true" outlineLevel="0" collapsed="false">
      <c r="A2563" s="4" t="n">
        <v>43500</v>
      </c>
      <c r="B2563" s="46" t="s">
        <v>352</v>
      </c>
      <c r="C2563" s="46" t="s">
        <v>15</v>
      </c>
      <c r="D2563" s="55" t="s">
        <v>43</v>
      </c>
      <c r="E2563" s="55" t="s">
        <v>109</v>
      </c>
      <c r="F2563" s="46" t="s">
        <v>5964</v>
      </c>
      <c r="G2563" s="57" t="n">
        <v>988398684</v>
      </c>
      <c r="H2563" s="46" t="s">
        <v>5965</v>
      </c>
      <c r="I2563" s="46"/>
      <c r="J2563" s="1"/>
      <c r="K2563" s="1" t="s">
        <v>21</v>
      </c>
      <c r="L2563" s="1"/>
      <c r="M2563" s="1"/>
      <c r="N2563" s="1"/>
      <c r="O2563" s="1"/>
      <c r="P2563" s="6"/>
      <c r="Q2563" s="1"/>
      <c r="R2563" s="1"/>
      <c r="S2563" s="1"/>
      <c r="T2563" s="1"/>
      <c r="U2563" s="1"/>
      <c r="V2563" s="1"/>
      <c r="W2563" s="1"/>
      <c r="X2563" s="1"/>
      <c r="Y2563" s="1"/>
      <c r="Z2563" s="1"/>
    </row>
    <row r="2564" customFormat="false" ht="21.75" hidden="false" customHeight="true" outlineLevel="0" collapsed="false">
      <c r="A2564" s="4" t="n">
        <v>43500</v>
      </c>
      <c r="B2564" s="46" t="s">
        <v>323</v>
      </c>
      <c r="C2564" s="46" t="s">
        <v>15</v>
      </c>
      <c r="D2564" s="55" t="s">
        <v>43</v>
      </c>
      <c r="E2564" s="55" t="s">
        <v>109</v>
      </c>
      <c r="F2564" s="46" t="s">
        <v>1150</v>
      </c>
      <c r="G2564" s="46" t="n">
        <f aca="false">+5930939531508</f>
        <v>5930939531508</v>
      </c>
      <c r="H2564" s="46" t="s">
        <v>5966</v>
      </c>
      <c r="I2564" s="46"/>
      <c r="J2564" s="1"/>
      <c r="K2564" s="1" t="s">
        <v>21</v>
      </c>
      <c r="L2564" s="1"/>
      <c r="M2564" s="1"/>
      <c r="N2564" s="1"/>
      <c r="O2564" s="1"/>
      <c r="P2564" s="6"/>
      <c r="Q2564" s="1"/>
      <c r="R2564" s="1"/>
      <c r="S2564" s="1"/>
      <c r="T2564" s="1"/>
      <c r="U2564" s="1"/>
      <c r="V2564" s="1"/>
      <c r="W2564" s="1"/>
      <c r="X2564" s="1"/>
      <c r="Y2564" s="1"/>
      <c r="Z2564" s="1"/>
    </row>
    <row r="2565" customFormat="false" ht="21.75" hidden="false" customHeight="true" outlineLevel="0" collapsed="false">
      <c r="A2565" s="4" t="n">
        <v>43500</v>
      </c>
      <c r="B2565" s="46" t="s">
        <v>352</v>
      </c>
      <c r="C2565" s="46" t="s">
        <v>15</v>
      </c>
      <c r="D2565" s="55" t="s">
        <v>43</v>
      </c>
      <c r="E2565" s="55" t="s">
        <v>109</v>
      </c>
      <c r="F2565" s="46" t="s">
        <v>5967</v>
      </c>
      <c r="G2565" s="57" t="n">
        <v>997152040</v>
      </c>
      <c r="H2565" s="46" t="s">
        <v>5968</v>
      </c>
      <c r="I2565" s="46"/>
      <c r="J2565" s="1"/>
      <c r="K2565" s="1" t="s">
        <v>5969</v>
      </c>
      <c r="L2565" s="1"/>
      <c r="M2565" s="1"/>
      <c r="N2565" s="1"/>
      <c r="O2565" s="1"/>
      <c r="P2565" s="6"/>
      <c r="Q2565" s="1"/>
      <c r="R2565" s="1"/>
      <c r="S2565" s="1"/>
      <c r="T2565" s="1"/>
      <c r="U2565" s="1"/>
      <c r="V2565" s="1"/>
      <c r="W2565" s="1"/>
      <c r="X2565" s="1"/>
      <c r="Y2565" s="1"/>
      <c r="Z2565" s="1"/>
    </row>
    <row r="2566" customFormat="false" ht="21.75" hidden="false" customHeight="true" outlineLevel="0" collapsed="false">
      <c r="A2566" s="4" t="n">
        <v>43500</v>
      </c>
      <c r="B2566" s="46" t="s">
        <v>127</v>
      </c>
      <c r="C2566" s="46" t="s">
        <v>26</v>
      </c>
      <c r="D2566" s="55" t="s">
        <v>43</v>
      </c>
      <c r="E2566" s="55" t="s">
        <v>109</v>
      </c>
      <c r="F2566" s="46" t="s">
        <v>5970</v>
      </c>
      <c r="G2566" s="46" t="n">
        <f aca="false">+593986936604</f>
        <v>593986936604</v>
      </c>
      <c r="H2566" s="46" t="s">
        <v>5971</v>
      </c>
      <c r="I2566" s="46"/>
      <c r="J2566" s="1"/>
      <c r="K2566" s="1" t="s">
        <v>5972</v>
      </c>
      <c r="L2566" s="1"/>
      <c r="M2566" s="1"/>
      <c r="N2566" s="1"/>
      <c r="O2566" s="1"/>
      <c r="P2566" s="6"/>
      <c r="Q2566" s="1"/>
      <c r="R2566" s="1"/>
      <c r="S2566" s="1"/>
      <c r="T2566" s="1"/>
      <c r="U2566" s="1"/>
      <c r="V2566" s="1"/>
      <c r="W2566" s="1"/>
      <c r="X2566" s="1"/>
      <c r="Y2566" s="1"/>
      <c r="Z2566" s="1"/>
    </row>
    <row r="2567" customFormat="false" ht="21.75" hidden="false" customHeight="true" outlineLevel="0" collapsed="false">
      <c r="A2567" s="4" t="n">
        <v>43500</v>
      </c>
      <c r="B2567" s="46" t="s">
        <v>352</v>
      </c>
      <c r="C2567" s="46" t="s">
        <v>15</v>
      </c>
      <c r="D2567" s="55" t="s">
        <v>43</v>
      </c>
      <c r="E2567" s="55" t="s">
        <v>109</v>
      </c>
      <c r="F2567" s="46" t="s">
        <v>5973</v>
      </c>
      <c r="G2567" s="46" t="n">
        <f aca="false">+5930996352806</f>
        <v>5930996352806</v>
      </c>
      <c r="H2567" s="46" t="s">
        <v>5974</v>
      </c>
      <c r="I2567" s="46"/>
      <c r="J2567" s="1"/>
      <c r="K2567" s="1" t="s">
        <v>5975</v>
      </c>
      <c r="L2567" s="1"/>
      <c r="M2567" s="1"/>
      <c r="N2567" s="1"/>
      <c r="O2567" s="1"/>
      <c r="P2567" s="6"/>
      <c r="Q2567" s="1"/>
      <c r="R2567" s="1"/>
      <c r="S2567" s="1"/>
      <c r="T2567" s="1"/>
      <c r="U2567" s="1"/>
      <c r="V2567" s="1"/>
      <c r="W2567" s="1"/>
      <c r="X2567" s="1"/>
      <c r="Y2567" s="1"/>
      <c r="Z2567" s="1"/>
    </row>
    <row r="2568" customFormat="false" ht="21.75" hidden="false" customHeight="true" outlineLevel="0" collapsed="false">
      <c r="A2568" s="4" t="n">
        <v>43500</v>
      </c>
      <c r="B2568" s="46" t="s">
        <v>415</v>
      </c>
      <c r="C2568" s="46" t="s">
        <v>15</v>
      </c>
      <c r="D2568" s="55" t="s">
        <v>43</v>
      </c>
      <c r="E2568" s="55" t="s">
        <v>109</v>
      </c>
      <c r="F2568" s="46" t="s">
        <v>5976</v>
      </c>
      <c r="G2568" s="46" t="n">
        <f aca="false">+593939090618</f>
        <v>593939090618</v>
      </c>
      <c r="H2568" s="46" t="s">
        <v>5977</v>
      </c>
      <c r="I2568" s="46"/>
      <c r="J2568" s="1"/>
      <c r="K2568" s="1" t="s">
        <v>21</v>
      </c>
      <c r="L2568" s="1"/>
      <c r="M2568" s="1"/>
      <c r="N2568" s="1"/>
      <c r="O2568" s="1"/>
      <c r="P2568" s="6"/>
      <c r="Q2568" s="1"/>
      <c r="R2568" s="1"/>
      <c r="S2568" s="1"/>
      <c r="T2568" s="1"/>
      <c r="U2568" s="1"/>
      <c r="V2568" s="1"/>
      <c r="W2568" s="1"/>
      <c r="X2568" s="1"/>
      <c r="Y2568" s="1"/>
      <c r="Z2568" s="1"/>
    </row>
    <row r="2569" customFormat="false" ht="21.75" hidden="false" customHeight="true" outlineLevel="0" collapsed="false">
      <c r="A2569" s="4" t="n">
        <v>43500</v>
      </c>
      <c r="B2569" s="46" t="s">
        <v>1114</v>
      </c>
      <c r="C2569" s="46" t="s">
        <v>15</v>
      </c>
      <c r="D2569" s="55" t="s">
        <v>43</v>
      </c>
      <c r="E2569" s="55" t="s">
        <v>109</v>
      </c>
      <c r="F2569" s="46" t="s">
        <v>5978</v>
      </c>
      <c r="G2569" s="46" t="n">
        <f aca="false">+593967828214</f>
        <v>593967828214</v>
      </c>
      <c r="H2569" s="46" t="s">
        <v>5979</v>
      </c>
      <c r="I2569" s="46"/>
      <c r="J2569" s="1"/>
      <c r="K2569" s="1" t="s">
        <v>21</v>
      </c>
      <c r="L2569" s="1"/>
      <c r="M2569" s="1"/>
      <c r="N2569" s="1"/>
      <c r="O2569" s="1"/>
      <c r="P2569" s="6"/>
      <c r="Q2569" s="1"/>
      <c r="R2569" s="1"/>
      <c r="S2569" s="1"/>
      <c r="T2569" s="1"/>
      <c r="U2569" s="1"/>
      <c r="V2569" s="1"/>
      <c r="W2569" s="1"/>
      <c r="X2569" s="1"/>
      <c r="Y2569" s="1"/>
      <c r="Z2569" s="1"/>
    </row>
    <row r="2570" customFormat="false" ht="21.75" hidden="false" customHeight="true" outlineLevel="0" collapsed="false">
      <c r="A2570" s="4" t="n">
        <v>43500</v>
      </c>
      <c r="B2570" s="46" t="s">
        <v>1114</v>
      </c>
      <c r="C2570" s="46" t="s">
        <v>15</v>
      </c>
      <c r="D2570" s="55" t="s">
        <v>43</v>
      </c>
      <c r="E2570" s="55" t="s">
        <v>109</v>
      </c>
      <c r="F2570" s="46" t="s">
        <v>5980</v>
      </c>
      <c r="G2570" s="46" t="n">
        <f aca="false">+593989462873</f>
        <v>593989462873</v>
      </c>
      <c r="H2570" s="46" t="s">
        <v>5981</v>
      </c>
      <c r="I2570" s="46"/>
      <c r="J2570" s="1"/>
      <c r="K2570" s="2" t="s">
        <v>5982</v>
      </c>
      <c r="L2570" s="1"/>
      <c r="M2570" s="1"/>
      <c r="N2570" s="1"/>
      <c r="O2570" s="1"/>
      <c r="P2570" s="6"/>
      <c r="Q2570" s="1"/>
      <c r="R2570" s="1"/>
      <c r="S2570" s="1"/>
      <c r="T2570" s="1"/>
      <c r="U2570" s="1"/>
      <c r="V2570" s="1"/>
      <c r="W2570" s="1"/>
      <c r="X2570" s="1"/>
      <c r="Y2570" s="1"/>
      <c r="Z2570" s="1"/>
    </row>
    <row r="2571" customFormat="false" ht="21.75" hidden="false" customHeight="true" outlineLevel="0" collapsed="false">
      <c r="A2571" s="4" t="n">
        <v>43500</v>
      </c>
      <c r="B2571" s="46" t="s">
        <v>1106</v>
      </c>
      <c r="C2571" s="46" t="s">
        <v>15</v>
      </c>
      <c r="D2571" s="55" t="s">
        <v>43</v>
      </c>
      <c r="E2571" s="55" t="s">
        <v>109</v>
      </c>
      <c r="F2571" s="46" t="s">
        <v>5983</v>
      </c>
      <c r="G2571" s="46" t="n">
        <f aca="false">+593988361304</f>
        <v>593988361304</v>
      </c>
      <c r="H2571" s="46" t="s">
        <v>5984</v>
      </c>
      <c r="I2571" s="46"/>
      <c r="J2571" s="1"/>
      <c r="K2571" s="1" t="s">
        <v>5985</v>
      </c>
      <c r="L2571" s="1"/>
      <c r="M2571" s="1"/>
      <c r="N2571" s="1"/>
      <c r="O2571" s="1"/>
      <c r="P2571" s="6"/>
      <c r="Q2571" s="1"/>
      <c r="R2571" s="1"/>
      <c r="S2571" s="1"/>
      <c r="T2571" s="1"/>
      <c r="U2571" s="1"/>
      <c r="V2571" s="1"/>
      <c r="W2571" s="1"/>
      <c r="X2571" s="1"/>
      <c r="Y2571" s="1"/>
      <c r="Z2571" s="1"/>
    </row>
    <row r="2572" customFormat="false" ht="21.75" hidden="false" customHeight="true" outlineLevel="0" collapsed="false">
      <c r="A2572" s="4" t="n">
        <v>43500</v>
      </c>
      <c r="B2572" s="46" t="s">
        <v>1114</v>
      </c>
      <c r="C2572" s="46" t="s">
        <v>15</v>
      </c>
      <c r="D2572" s="55" t="s">
        <v>43</v>
      </c>
      <c r="E2572" s="55" t="s">
        <v>109</v>
      </c>
      <c r="F2572" s="46" t="s">
        <v>5986</v>
      </c>
      <c r="G2572" s="46" t="n">
        <f aca="false">+593991543875</f>
        <v>593991543875</v>
      </c>
      <c r="H2572" s="46" t="s">
        <v>5987</v>
      </c>
      <c r="I2572" s="46"/>
      <c r="J2572" s="1"/>
      <c r="K2572" s="1" t="s">
        <v>21</v>
      </c>
      <c r="L2572" s="1"/>
      <c r="M2572" s="1"/>
      <c r="N2572" s="1"/>
      <c r="O2572" s="1"/>
      <c r="P2572" s="6"/>
      <c r="Q2572" s="1"/>
      <c r="R2572" s="1"/>
      <c r="S2572" s="1"/>
      <c r="T2572" s="1"/>
      <c r="U2572" s="1"/>
      <c r="V2572" s="1"/>
      <c r="W2572" s="1"/>
      <c r="X2572" s="1"/>
      <c r="Y2572" s="1"/>
      <c r="Z2572" s="1"/>
    </row>
    <row r="2573" customFormat="false" ht="21.75" hidden="false" customHeight="true" outlineLevel="0" collapsed="false">
      <c r="A2573" s="4" t="n">
        <v>43500</v>
      </c>
      <c r="B2573" s="46" t="s">
        <v>127</v>
      </c>
      <c r="C2573" s="46" t="s">
        <v>26</v>
      </c>
      <c r="D2573" s="55" t="s">
        <v>43</v>
      </c>
      <c r="E2573" s="55" t="s">
        <v>109</v>
      </c>
      <c r="F2573" s="46" t="s">
        <v>5988</v>
      </c>
      <c r="G2573" s="46" t="n">
        <f aca="false">+593960921461</f>
        <v>593960921461</v>
      </c>
      <c r="H2573" s="46" t="s">
        <v>5989</v>
      </c>
      <c r="I2573" s="46"/>
      <c r="J2573" s="1"/>
      <c r="K2573" s="1" t="s">
        <v>21</v>
      </c>
      <c r="L2573" s="1"/>
      <c r="M2573" s="1"/>
      <c r="N2573" s="1"/>
      <c r="O2573" s="1"/>
      <c r="P2573" s="6"/>
      <c r="Q2573" s="1"/>
      <c r="R2573" s="1"/>
      <c r="S2573" s="1"/>
      <c r="T2573" s="1"/>
      <c r="U2573" s="1"/>
      <c r="V2573" s="1"/>
      <c r="W2573" s="1"/>
      <c r="X2573" s="1"/>
      <c r="Y2573" s="1"/>
      <c r="Z2573" s="1"/>
    </row>
    <row r="2574" customFormat="false" ht="21.75" hidden="false" customHeight="true" outlineLevel="0" collapsed="false">
      <c r="A2574" s="4" t="n">
        <v>43500</v>
      </c>
      <c r="B2574" s="46" t="s">
        <v>48</v>
      </c>
      <c r="C2574" s="46" t="s">
        <v>15</v>
      </c>
      <c r="D2574" s="55" t="s">
        <v>43</v>
      </c>
      <c r="E2574" s="55" t="s">
        <v>109</v>
      </c>
      <c r="F2574" s="46" t="s">
        <v>5990</v>
      </c>
      <c r="G2574" s="46" t="n">
        <f aca="false">+593987997572</f>
        <v>593987997572</v>
      </c>
      <c r="H2574" s="46" t="s">
        <v>5991</v>
      </c>
      <c r="I2574" s="46"/>
      <c r="J2574" s="1"/>
      <c r="K2574" s="1" t="s">
        <v>5652</v>
      </c>
      <c r="L2574" s="1"/>
      <c r="M2574" s="1"/>
      <c r="N2574" s="1"/>
      <c r="O2574" s="1"/>
      <c r="P2574" s="6"/>
      <c r="Q2574" s="1"/>
      <c r="R2574" s="1"/>
      <c r="S2574" s="1"/>
      <c r="T2574" s="1"/>
      <c r="U2574" s="1"/>
      <c r="V2574" s="1"/>
      <c r="W2574" s="1"/>
      <c r="X2574" s="1"/>
      <c r="Y2574" s="1"/>
      <c r="Z2574" s="1"/>
    </row>
    <row r="2575" customFormat="false" ht="21.75" hidden="false" customHeight="true" outlineLevel="0" collapsed="false">
      <c r="A2575" s="4" t="n">
        <v>43500</v>
      </c>
      <c r="B2575" s="46" t="s">
        <v>1114</v>
      </c>
      <c r="C2575" s="46" t="s">
        <v>15</v>
      </c>
      <c r="D2575" s="55" t="s">
        <v>43</v>
      </c>
      <c r="E2575" s="55" t="s">
        <v>109</v>
      </c>
      <c r="F2575" s="46" t="s">
        <v>5992</v>
      </c>
      <c r="G2575" s="46" t="n">
        <f aca="false">+593980847076</f>
        <v>593980847076</v>
      </c>
      <c r="H2575" s="46" t="s">
        <v>5993</v>
      </c>
      <c r="I2575" s="46"/>
      <c r="J2575" s="1"/>
      <c r="K2575" s="1" t="s">
        <v>5994</v>
      </c>
      <c r="L2575" s="1"/>
      <c r="M2575" s="1"/>
      <c r="N2575" s="1"/>
      <c r="O2575" s="1"/>
      <c r="P2575" s="6"/>
      <c r="Q2575" s="1"/>
      <c r="R2575" s="1"/>
      <c r="S2575" s="1"/>
      <c r="T2575" s="1"/>
      <c r="U2575" s="1"/>
      <c r="V2575" s="1"/>
      <c r="W2575" s="1"/>
      <c r="X2575" s="1"/>
      <c r="Y2575" s="1"/>
      <c r="Z2575" s="1"/>
    </row>
    <row r="2576" customFormat="false" ht="21.75" hidden="false" customHeight="true" outlineLevel="0" collapsed="false">
      <c r="A2576" s="4" t="n">
        <v>43500</v>
      </c>
      <c r="B2576" s="46" t="s">
        <v>532</v>
      </c>
      <c r="C2576" s="46" t="s">
        <v>15</v>
      </c>
      <c r="D2576" s="55" t="s">
        <v>43</v>
      </c>
      <c r="E2576" s="55" t="s">
        <v>109</v>
      </c>
      <c r="F2576" s="46" t="s">
        <v>5995</v>
      </c>
      <c r="G2576" s="46" t="n">
        <f aca="false">+593960703075</f>
        <v>593960703075</v>
      </c>
      <c r="H2576" s="46" t="s">
        <v>5996</v>
      </c>
      <c r="I2576" s="46"/>
      <c r="J2576" s="1"/>
      <c r="K2576" s="1" t="s">
        <v>21</v>
      </c>
      <c r="L2576" s="1"/>
      <c r="M2576" s="1"/>
      <c r="N2576" s="1"/>
      <c r="O2576" s="1"/>
      <c r="P2576" s="6"/>
      <c r="Q2576" s="1"/>
      <c r="R2576" s="1"/>
      <c r="S2576" s="1"/>
      <c r="T2576" s="1"/>
      <c r="U2576" s="1"/>
      <c r="V2576" s="1"/>
      <c r="W2576" s="1"/>
      <c r="X2576" s="1"/>
      <c r="Y2576" s="1"/>
      <c r="Z2576" s="1"/>
    </row>
    <row r="2577" customFormat="false" ht="21.75" hidden="false" customHeight="true" outlineLevel="0" collapsed="false">
      <c r="A2577" s="4" t="n">
        <v>43500</v>
      </c>
      <c r="B2577" s="46" t="s">
        <v>1106</v>
      </c>
      <c r="C2577" s="46" t="s">
        <v>15</v>
      </c>
      <c r="D2577" s="55" t="s">
        <v>43</v>
      </c>
      <c r="E2577" s="55" t="s">
        <v>109</v>
      </c>
      <c r="F2577" s="46" t="s">
        <v>5997</v>
      </c>
      <c r="G2577" s="46" t="n">
        <f aca="false">+593991744813</f>
        <v>593991744813</v>
      </c>
      <c r="H2577" s="46" t="s">
        <v>5998</v>
      </c>
      <c r="I2577" s="46"/>
      <c r="J2577" s="1"/>
      <c r="K2577" s="1" t="s">
        <v>5999</v>
      </c>
      <c r="L2577" s="1"/>
      <c r="M2577" s="1"/>
      <c r="N2577" s="1"/>
      <c r="O2577" s="1"/>
      <c r="P2577" s="6"/>
      <c r="Q2577" s="1"/>
      <c r="R2577" s="1"/>
      <c r="S2577" s="1"/>
      <c r="T2577" s="1"/>
      <c r="U2577" s="1"/>
      <c r="V2577" s="1"/>
      <c r="W2577" s="1"/>
      <c r="X2577" s="1"/>
      <c r="Y2577" s="1"/>
      <c r="Z2577" s="1"/>
    </row>
    <row r="2578" customFormat="false" ht="21.75" hidden="false" customHeight="true" outlineLevel="0" collapsed="false">
      <c r="A2578" s="4" t="n">
        <v>43500</v>
      </c>
      <c r="B2578" s="46" t="s">
        <v>352</v>
      </c>
      <c r="C2578" s="46" t="s">
        <v>15</v>
      </c>
      <c r="D2578" s="55" t="s">
        <v>43</v>
      </c>
      <c r="E2578" s="55" t="s">
        <v>109</v>
      </c>
      <c r="F2578" s="46" t="s">
        <v>6000</v>
      </c>
      <c r="G2578" s="46" t="n">
        <f aca="false">+593993578302</f>
        <v>593993578302</v>
      </c>
      <c r="H2578" s="46" t="s">
        <v>6001</v>
      </c>
      <c r="I2578" s="46"/>
      <c r="J2578" s="1"/>
      <c r="K2578" s="1" t="s">
        <v>21</v>
      </c>
      <c r="L2578" s="1"/>
      <c r="M2578" s="1"/>
      <c r="N2578" s="1"/>
      <c r="O2578" s="1"/>
      <c r="P2578" s="6"/>
      <c r="Q2578" s="1"/>
      <c r="R2578" s="1"/>
      <c r="S2578" s="1"/>
      <c r="T2578" s="1"/>
      <c r="U2578" s="1"/>
      <c r="V2578" s="1"/>
      <c r="W2578" s="1"/>
      <c r="X2578" s="1"/>
      <c r="Y2578" s="1"/>
      <c r="Z2578" s="1"/>
    </row>
    <row r="2579" customFormat="false" ht="21.75" hidden="false" customHeight="true" outlineLevel="0" collapsed="false">
      <c r="A2579" s="4" t="n">
        <v>43500</v>
      </c>
      <c r="B2579" s="46" t="s">
        <v>352</v>
      </c>
      <c r="C2579" s="46" t="s">
        <v>15</v>
      </c>
      <c r="D2579" s="55" t="s">
        <v>43</v>
      </c>
      <c r="E2579" s="55" t="s">
        <v>109</v>
      </c>
      <c r="F2579" s="46" t="s">
        <v>6002</v>
      </c>
      <c r="G2579" s="46" t="n">
        <f aca="false">+593985357994</f>
        <v>593985357994</v>
      </c>
      <c r="H2579" s="46" t="s">
        <v>6003</v>
      </c>
      <c r="I2579" s="46"/>
      <c r="J2579" s="1"/>
      <c r="K2579" s="1" t="s">
        <v>6004</v>
      </c>
      <c r="L2579" s="1"/>
      <c r="M2579" s="1"/>
      <c r="N2579" s="1"/>
      <c r="O2579" s="1"/>
      <c r="P2579" s="6"/>
      <c r="Q2579" s="1"/>
      <c r="R2579" s="1"/>
      <c r="S2579" s="1"/>
      <c r="T2579" s="1"/>
      <c r="U2579" s="1"/>
      <c r="V2579" s="1"/>
      <c r="W2579" s="1"/>
      <c r="X2579" s="1"/>
      <c r="Y2579" s="1"/>
      <c r="Z2579" s="1"/>
    </row>
    <row r="2580" customFormat="false" ht="21.75" hidden="false" customHeight="true" outlineLevel="0" collapsed="false">
      <c r="A2580" s="4" t="n">
        <v>43500</v>
      </c>
      <c r="B2580" s="46" t="s">
        <v>1831</v>
      </c>
      <c r="C2580" s="46" t="s">
        <v>15</v>
      </c>
      <c r="D2580" s="55" t="s">
        <v>43</v>
      </c>
      <c r="E2580" s="55" t="s">
        <v>109</v>
      </c>
      <c r="F2580" s="46" t="s">
        <v>6005</v>
      </c>
      <c r="G2580" s="46" t="n">
        <f aca="false">+593984148566</f>
        <v>593984148566</v>
      </c>
      <c r="H2580" s="46" t="s">
        <v>6006</v>
      </c>
      <c r="I2580" s="46"/>
      <c r="J2580" s="1"/>
      <c r="K2580" s="1" t="s">
        <v>21</v>
      </c>
      <c r="L2580" s="1"/>
      <c r="M2580" s="1"/>
      <c r="N2580" s="1"/>
      <c r="O2580" s="1"/>
      <c r="P2580" s="6"/>
      <c r="Q2580" s="1"/>
      <c r="R2580" s="1"/>
      <c r="S2580" s="1"/>
      <c r="T2580" s="1"/>
      <c r="U2580" s="1"/>
      <c r="V2580" s="1"/>
      <c r="W2580" s="1"/>
      <c r="X2580" s="1"/>
      <c r="Y2580" s="1"/>
      <c r="Z2580" s="1"/>
    </row>
    <row r="2581" customFormat="false" ht="21.75" hidden="false" customHeight="true" outlineLevel="0" collapsed="false">
      <c r="A2581" s="4" t="n">
        <v>43500</v>
      </c>
      <c r="B2581" s="46" t="s">
        <v>48</v>
      </c>
      <c r="C2581" s="46" t="s">
        <v>26</v>
      </c>
      <c r="D2581" s="55" t="s">
        <v>43</v>
      </c>
      <c r="E2581" s="55" t="s">
        <v>109</v>
      </c>
      <c r="F2581" s="46" t="s">
        <v>6007</v>
      </c>
      <c r="G2581" s="46" t="n">
        <f aca="false">+593979128834</f>
        <v>593979128834</v>
      </c>
      <c r="H2581" s="46" t="s">
        <v>6008</v>
      </c>
      <c r="I2581" s="46"/>
      <c r="J2581" s="1"/>
      <c r="K2581" s="1" t="s">
        <v>1652</v>
      </c>
      <c r="L2581" s="1"/>
      <c r="M2581" s="1"/>
      <c r="N2581" s="1"/>
      <c r="O2581" s="1"/>
      <c r="P2581" s="6"/>
      <c r="Q2581" s="1"/>
      <c r="R2581" s="1"/>
      <c r="S2581" s="1"/>
      <c r="T2581" s="1"/>
      <c r="U2581" s="1"/>
      <c r="V2581" s="1"/>
      <c r="W2581" s="1"/>
      <c r="X2581" s="1"/>
      <c r="Y2581" s="1"/>
      <c r="Z2581" s="1"/>
    </row>
    <row r="2582" customFormat="false" ht="21.75" hidden="false" customHeight="true" outlineLevel="0" collapsed="false">
      <c r="A2582" s="4" t="n">
        <v>43500</v>
      </c>
      <c r="B2582" s="46" t="s">
        <v>1106</v>
      </c>
      <c r="C2582" s="46" t="s">
        <v>15</v>
      </c>
      <c r="D2582" s="55" t="s">
        <v>43</v>
      </c>
      <c r="E2582" s="55" t="s">
        <v>109</v>
      </c>
      <c r="F2582" s="46" t="s">
        <v>6009</v>
      </c>
      <c r="G2582" s="46" t="n">
        <f aca="false">+593999792015</f>
        <v>593999792015</v>
      </c>
      <c r="H2582" s="46" t="s">
        <v>6010</v>
      </c>
      <c r="I2582" s="46"/>
      <c r="J2582" s="1"/>
      <c r="K2582" s="1" t="s">
        <v>21</v>
      </c>
      <c r="L2582" s="1"/>
      <c r="M2582" s="1"/>
      <c r="N2582" s="1"/>
      <c r="O2582" s="1"/>
      <c r="P2582" s="6"/>
      <c r="Q2582" s="1"/>
      <c r="R2582" s="1"/>
      <c r="S2582" s="1"/>
      <c r="T2582" s="1"/>
      <c r="U2582" s="1"/>
      <c r="V2582" s="1"/>
      <c r="W2582" s="1"/>
      <c r="X2582" s="1"/>
      <c r="Y2582" s="1"/>
      <c r="Z2582" s="1"/>
    </row>
    <row r="2583" customFormat="false" ht="21.75" hidden="false" customHeight="true" outlineLevel="0" collapsed="false">
      <c r="A2583" s="4" t="n">
        <v>43500</v>
      </c>
      <c r="B2583" s="46" t="s">
        <v>48</v>
      </c>
      <c r="C2583" s="46" t="s">
        <v>15</v>
      </c>
      <c r="D2583" s="55" t="s">
        <v>43</v>
      </c>
      <c r="E2583" s="55" t="s">
        <v>109</v>
      </c>
      <c r="F2583" s="46" t="s">
        <v>6011</v>
      </c>
      <c r="G2583" s="46" t="n">
        <f aca="false">+593959765173</f>
        <v>593959765173</v>
      </c>
      <c r="H2583" s="46" t="s">
        <v>6012</v>
      </c>
      <c r="I2583" s="46"/>
      <c r="J2583" s="1"/>
      <c r="K2583" s="1" t="s">
        <v>21</v>
      </c>
      <c r="L2583" s="1"/>
      <c r="M2583" s="1"/>
      <c r="N2583" s="1"/>
      <c r="O2583" s="1"/>
      <c r="P2583" s="6"/>
      <c r="Q2583" s="1"/>
      <c r="R2583" s="1"/>
      <c r="S2583" s="1"/>
      <c r="T2583" s="1"/>
      <c r="U2583" s="1"/>
      <c r="V2583" s="1"/>
      <c r="W2583" s="1"/>
      <c r="X2583" s="1"/>
      <c r="Y2583" s="1"/>
      <c r="Z2583" s="1"/>
    </row>
    <row r="2584" customFormat="false" ht="21.75" hidden="false" customHeight="true" outlineLevel="0" collapsed="false">
      <c r="A2584" s="4" t="n">
        <v>43500</v>
      </c>
      <c r="B2584" s="46" t="s">
        <v>42</v>
      </c>
      <c r="C2584" s="46" t="s">
        <v>15</v>
      </c>
      <c r="D2584" s="55" t="s">
        <v>43</v>
      </c>
      <c r="E2584" s="55" t="s">
        <v>109</v>
      </c>
      <c r="F2584" s="46" t="s">
        <v>6013</v>
      </c>
      <c r="G2584" s="46" t="n">
        <f aca="false">+593992356897</f>
        <v>593992356897</v>
      </c>
      <c r="H2584" s="46" t="s">
        <v>6014</v>
      </c>
      <c r="I2584" s="46"/>
      <c r="J2584" s="1"/>
      <c r="K2584" s="1" t="s">
        <v>6015</v>
      </c>
      <c r="L2584" s="1"/>
      <c r="M2584" s="1"/>
      <c r="N2584" s="1"/>
      <c r="O2584" s="1"/>
      <c r="P2584" s="6"/>
      <c r="Q2584" s="1"/>
      <c r="R2584" s="1"/>
      <c r="S2584" s="1"/>
      <c r="T2584" s="1"/>
      <c r="U2584" s="1"/>
      <c r="V2584" s="1"/>
      <c r="W2584" s="1"/>
      <c r="X2584" s="1"/>
      <c r="Y2584" s="1"/>
      <c r="Z2584" s="1"/>
    </row>
    <row r="2585" customFormat="false" ht="21.75" hidden="false" customHeight="true" outlineLevel="0" collapsed="false">
      <c r="A2585" s="4" t="n">
        <v>43500</v>
      </c>
      <c r="B2585" s="46" t="s">
        <v>1106</v>
      </c>
      <c r="C2585" s="46" t="s">
        <v>15</v>
      </c>
      <c r="D2585" s="55" t="s">
        <v>43</v>
      </c>
      <c r="E2585" s="55" t="s">
        <v>109</v>
      </c>
      <c r="F2585" s="46" t="s">
        <v>6016</v>
      </c>
      <c r="G2585" s="46" t="n">
        <f aca="false">+593996573050</f>
        <v>593996573050</v>
      </c>
      <c r="H2585" s="46" t="s">
        <v>6017</v>
      </c>
      <c r="I2585" s="46"/>
      <c r="J2585" s="1"/>
      <c r="K2585" s="1" t="s">
        <v>21</v>
      </c>
      <c r="L2585" s="1"/>
      <c r="M2585" s="1"/>
      <c r="N2585" s="1"/>
      <c r="O2585" s="1"/>
      <c r="P2585" s="6"/>
      <c r="Q2585" s="1"/>
      <c r="R2585" s="1"/>
      <c r="S2585" s="1"/>
      <c r="T2585" s="1"/>
      <c r="U2585" s="1"/>
      <c r="V2585" s="1"/>
      <c r="W2585" s="1"/>
      <c r="X2585" s="1"/>
      <c r="Y2585" s="1"/>
      <c r="Z2585" s="1"/>
    </row>
    <row r="2586" customFormat="false" ht="21.75" hidden="false" customHeight="true" outlineLevel="0" collapsed="false">
      <c r="A2586" s="4" t="n">
        <v>43500</v>
      </c>
      <c r="B2586" s="46" t="s">
        <v>323</v>
      </c>
      <c r="C2586" s="46" t="s">
        <v>15</v>
      </c>
      <c r="D2586" s="55" t="s">
        <v>43</v>
      </c>
      <c r="E2586" s="55" t="s">
        <v>109</v>
      </c>
      <c r="F2586" s="46" t="s">
        <v>6018</v>
      </c>
      <c r="G2586" s="46" t="n">
        <f aca="false">+593985825181</f>
        <v>593985825181</v>
      </c>
      <c r="H2586" s="46" t="s">
        <v>6019</v>
      </c>
      <c r="I2586" s="46"/>
      <c r="J2586" s="1"/>
      <c r="K2586" s="1" t="s">
        <v>21</v>
      </c>
      <c r="L2586" s="1"/>
      <c r="M2586" s="1"/>
      <c r="N2586" s="1"/>
      <c r="O2586" s="1"/>
      <c r="P2586" s="6"/>
      <c r="Q2586" s="1"/>
      <c r="R2586" s="1"/>
      <c r="S2586" s="1"/>
      <c r="T2586" s="1"/>
      <c r="U2586" s="1"/>
      <c r="V2586" s="1"/>
      <c r="W2586" s="1"/>
      <c r="X2586" s="1"/>
      <c r="Y2586" s="1"/>
      <c r="Z2586" s="1"/>
    </row>
    <row r="2587" customFormat="false" ht="21.75" hidden="false" customHeight="true" outlineLevel="0" collapsed="false">
      <c r="A2587" s="4" t="n">
        <v>43500</v>
      </c>
      <c r="B2587" s="46" t="s">
        <v>1114</v>
      </c>
      <c r="C2587" s="46" t="s">
        <v>15</v>
      </c>
      <c r="D2587" s="55" t="s">
        <v>43</v>
      </c>
      <c r="E2587" s="55" t="s">
        <v>109</v>
      </c>
      <c r="F2587" s="46" t="s">
        <v>6020</v>
      </c>
      <c r="G2587" s="46" t="n">
        <f aca="false">+593989761820</f>
        <v>593989761820</v>
      </c>
      <c r="H2587" s="46" t="s">
        <v>6021</v>
      </c>
      <c r="I2587" s="46"/>
      <c r="J2587" s="1"/>
      <c r="K2587" s="1" t="s">
        <v>6022</v>
      </c>
      <c r="L2587" s="1"/>
      <c r="M2587" s="1"/>
      <c r="N2587" s="1"/>
      <c r="O2587" s="1"/>
      <c r="P2587" s="6"/>
      <c r="Q2587" s="1"/>
      <c r="R2587" s="1"/>
      <c r="S2587" s="1"/>
      <c r="T2587" s="1"/>
      <c r="U2587" s="1"/>
      <c r="V2587" s="1"/>
      <c r="W2587" s="1"/>
      <c r="X2587" s="1"/>
      <c r="Y2587" s="1"/>
      <c r="Z2587" s="1"/>
    </row>
    <row r="2588" customFormat="false" ht="21.75" hidden="false" customHeight="true" outlineLevel="0" collapsed="false">
      <c r="A2588" s="4" t="n">
        <v>43500</v>
      </c>
      <c r="B2588" s="53" t="s">
        <v>48</v>
      </c>
      <c r="C2588" s="46" t="s">
        <v>15</v>
      </c>
      <c r="D2588" s="55" t="s">
        <v>43</v>
      </c>
      <c r="E2588" s="55" t="s">
        <v>44</v>
      </c>
      <c r="F2588" s="46" t="s">
        <v>6023</v>
      </c>
      <c r="G2588" s="46" t="n">
        <f aca="false">+593969019163</f>
        <v>593969019163</v>
      </c>
      <c r="H2588" s="46" t="s">
        <v>6024</v>
      </c>
      <c r="I2588" s="46"/>
      <c r="J2588" s="1"/>
      <c r="K2588" s="1" t="s">
        <v>21</v>
      </c>
      <c r="L2588" s="1"/>
      <c r="M2588" s="1"/>
      <c r="N2588" s="1"/>
      <c r="O2588" s="1"/>
      <c r="P2588" s="6"/>
      <c r="Q2588" s="1"/>
      <c r="R2588" s="1"/>
      <c r="S2588" s="1"/>
      <c r="T2588" s="1"/>
      <c r="U2588" s="1"/>
      <c r="V2588" s="1"/>
      <c r="W2588" s="1"/>
      <c r="X2588" s="1"/>
      <c r="Y2588" s="1"/>
      <c r="Z2588" s="1"/>
    </row>
    <row r="2589" customFormat="false" ht="21.75" hidden="false" customHeight="true" outlineLevel="0" collapsed="false">
      <c r="A2589" s="4" t="n">
        <v>43500</v>
      </c>
      <c r="B2589" s="53" t="s">
        <v>48</v>
      </c>
      <c r="C2589" s="46" t="s">
        <v>15</v>
      </c>
      <c r="D2589" s="55" t="s">
        <v>43</v>
      </c>
      <c r="E2589" s="55" t="s">
        <v>44</v>
      </c>
      <c r="F2589" s="46" t="s">
        <v>6025</v>
      </c>
      <c r="G2589" s="46" t="n">
        <f aca="false">+593999731635</f>
        <v>593999731635</v>
      </c>
      <c r="H2589" s="46" t="s">
        <v>6026</v>
      </c>
      <c r="I2589" s="46"/>
      <c r="J2589" s="1"/>
      <c r="K2589" s="1" t="s">
        <v>21</v>
      </c>
      <c r="L2589" s="1"/>
      <c r="M2589" s="1"/>
      <c r="N2589" s="1"/>
      <c r="O2589" s="1"/>
      <c r="P2589" s="6"/>
      <c r="Q2589" s="1"/>
      <c r="R2589" s="1"/>
      <c r="S2589" s="1"/>
      <c r="T2589" s="1"/>
      <c r="U2589" s="1"/>
      <c r="V2589" s="1"/>
      <c r="W2589" s="1"/>
      <c r="X2589" s="1"/>
      <c r="Y2589" s="1"/>
      <c r="Z2589" s="1"/>
    </row>
    <row r="2590" customFormat="false" ht="21.75" hidden="false" customHeight="true" outlineLevel="0" collapsed="false">
      <c r="A2590" s="4" t="n">
        <v>43500</v>
      </c>
      <c r="B2590" s="53" t="s">
        <v>48</v>
      </c>
      <c r="C2590" s="46" t="s">
        <v>15</v>
      </c>
      <c r="D2590" s="55" t="s">
        <v>43</v>
      </c>
      <c r="E2590" s="55" t="s">
        <v>44</v>
      </c>
      <c r="F2590" s="46" t="s">
        <v>6027</v>
      </c>
      <c r="G2590" s="46" t="n">
        <f aca="false">+593983732573</f>
        <v>593983732573</v>
      </c>
      <c r="H2590" s="46" t="s">
        <v>6028</v>
      </c>
      <c r="I2590" s="46"/>
      <c r="J2590" s="1"/>
      <c r="K2590" s="1" t="s">
        <v>21</v>
      </c>
      <c r="L2590" s="1"/>
      <c r="M2590" s="1"/>
      <c r="N2590" s="1"/>
      <c r="O2590" s="1"/>
      <c r="P2590" s="6"/>
      <c r="Q2590" s="1"/>
      <c r="R2590" s="1"/>
      <c r="S2590" s="1"/>
      <c r="T2590" s="1"/>
      <c r="U2590" s="1"/>
      <c r="V2590" s="1"/>
      <c r="W2590" s="1"/>
      <c r="X2590" s="1"/>
      <c r="Y2590" s="1"/>
      <c r="Z2590" s="1"/>
    </row>
    <row r="2591" customFormat="false" ht="21.75" hidden="false" customHeight="true" outlineLevel="0" collapsed="false">
      <c r="A2591" s="4" t="n">
        <v>43500</v>
      </c>
      <c r="B2591" s="53" t="s">
        <v>48</v>
      </c>
      <c r="C2591" s="46" t="s">
        <v>15</v>
      </c>
      <c r="D2591" s="55" t="s">
        <v>43</v>
      </c>
      <c r="E2591" s="55" t="s">
        <v>44</v>
      </c>
      <c r="F2591" s="46" t="s">
        <v>6029</v>
      </c>
      <c r="G2591" s="46" t="n">
        <f aca="false">+593983927608</f>
        <v>593983927608</v>
      </c>
      <c r="H2591" s="46" t="s">
        <v>6030</v>
      </c>
      <c r="I2591" s="46"/>
      <c r="J2591" s="1"/>
      <c r="K2591" s="1" t="s">
        <v>6031</v>
      </c>
      <c r="L2591" s="1"/>
      <c r="M2591" s="1"/>
      <c r="N2591" s="1"/>
      <c r="O2591" s="1"/>
      <c r="P2591" s="6"/>
      <c r="Q2591" s="1"/>
      <c r="R2591" s="1"/>
      <c r="S2591" s="1"/>
      <c r="T2591" s="1"/>
      <c r="U2591" s="1"/>
      <c r="V2591" s="1"/>
      <c r="W2591" s="1"/>
      <c r="X2591" s="1"/>
      <c r="Y2591" s="1"/>
      <c r="Z2591" s="1"/>
    </row>
    <row r="2592" customFormat="false" ht="21.75" hidden="false" customHeight="true" outlineLevel="0" collapsed="false">
      <c r="A2592" s="4" t="n">
        <v>43500</v>
      </c>
      <c r="B2592" s="53" t="s">
        <v>48</v>
      </c>
      <c r="C2592" s="46" t="s">
        <v>15</v>
      </c>
      <c r="D2592" s="55" t="s">
        <v>43</v>
      </c>
      <c r="E2592" s="55" t="s">
        <v>44</v>
      </c>
      <c r="F2592" s="46" t="s">
        <v>6032</v>
      </c>
      <c r="G2592" s="46" t="n">
        <f aca="false">+593984657317</f>
        <v>593984657317</v>
      </c>
      <c r="H2592" s="46" t="s">
        <v>6033</v>
      </c>
      <c r="I2592" s="46"/>
      <c r="J2592" s="1"/>
      <c r="K2592" s="1" t="s">
        <v>6034</v>
      </c>
      <c r="L2592" s="1"/>
      <c r="M2592" s="1"/>
      <c r="N2592" s="1"/>
      <c r="O2592" s="1"/>
      <c r="P2592" s="6"/>
      <c r="Q2592" s="1"/>
      <c r="R2592" s="1"/>
      <c r="S2592" s="1"/>
      <c r="T2592" s="1"/>
      <c r="U2592" s="1"/>
      <c r="V2592" s="1"/>
      <c r="W2592" s="1"/>
      <c r="X2592" s="1"/>
      <c r="Y2592" s="1"/>
      <c r="Z2592" s="1"/>
    </row>
    <row r="2593" customFormat="false" ht="21.75" hidden="false" customHeight="true" outlineLevel="0" collapsed="false">
      <c r="A2593" s="4" t="n">
        <v>43500</v>
      </c>
      <c r="B2593" s="53" t="s">
        <v>48</v>
      </c>
      <c r="C2593" s="46" t="s">
        <v>15</v>
      </c>
      <c r="D2593" s="55" t="s">
        <v>43</v>
      </c>
      <c r="E2593" s="55" t="s">
        <v>44</v>
      </c>
      <c r="F2593" s="46" t="s">
        <v>6035</v>
      </c>
      <c r="G2593" s="46" t="n">
        <f aca="false">+593984141471</f>
        <v>593984141471</v>
      </c>
      <c r="H2593" s="46" t="s">
        <v>6036</v>
      </c>
      <c r="I2593" s="46"/>
      <c r="J2593" s="1"/>
      <c r="K2593" s="1" t="s">
        <v>21</v>
      </c>
      <c r="L2593" s="1"/>
      <c r="M2593" s="1"/>
      <c r="N2593" s="1"/>
      <c r="O2593" s="1"/>
      <c r="P2593" s="6"/>
      <c r="Q2593" s="1"/>
      <c r="R2593" s="1"/>
      <c r="S2593" s="1"/>
      <c r="T2593" s="1"/>
      <c r="U2593" s="1"/>
      <c r="V2593" s="1"/>
      <c r="W2593" s="1"/>
      <c r="X2593" s="1"/>
      <c r="Y2593" s="1"/>
      <c r="Z2593" s="1"/>
    </row>
    <row r="2594" customFormat="false" ht="21.75" hidden="false" customHeight="true" outlineLevel="0" collapsed="false">
      <c r="A2594" s="4" t="n">
        <v>43500</v>
      </c>
      <c r="B2594" s="53" t="s">
        <v>48</v>
      </c>
      <c r="C2594" s="46" t="s">
        <v>15</v>
      </c>
      <c r="D2594" s="55" t="s">
        <v>43</v>
      </c>
      <c r="E2594" s="55" t="s">
        <v>44</v>
      </c>
      <c r="F2594" s="46" t="s">
        <v>6037</v>
      </c>
      <c r="G2594" s="46" t="n">
        <f aca="false">+593986822148</f>
        <v>593986822148</v>
      </c>
      <c r="H2594" s="46" t="s">
        <v>6038</v>
      </c>
      <c r="I2594" s="46"/>
      <c r="J2594" s="1"/>
      <c r="K2594" s="1" t="s">
        <v>2714</v>
      </c>
      <c r="L2594" s="1"/>
      <c r="M2594" s="1"/>
      <c r="N2594" s="1"/>
      <c r="O2594" s="1"/>
      <c r="P2594" s="6"/>
      <c r="Q2594" s="1"/>
      <c r="R2594" s="1"/>
      <c r="S2594" s="1"/>
      <c r="T2594" s="1"/>
      <c r="U2594" s="1"/>
      <c r="V2594" s="1"/>
      <c r="W2594" s="1"/>
      <c r="X2594" s="1"/>
      <c r="Y2594" s="1"/>
      <c r="Z2594" s="1"/>
    </row>
    <row r="2595" customFormat="false" ht="21.75" hidden="false" customHeight="true" outlineLevel="0" collapsed="false">
      <c r="A2595" s="4" t="n">
        <v>43500</v>
      </c>
      <c r="B2595" s="53" t="s">
        <v>48</v>
      </c>
      <c r="C2595" s="46" t="s">
        <v>15</v>
      </c>
      <c r="D2595" s="55" t="s">
        <v>43</v>
      </c>
      <c r="E2595" s="55" t="s">
        <v>44</v>
      </c>
      <c r="F2595" s="46" t="s">
        <v>6039</v>
      </c>
      <c r="G2595" s="46" t="n">
        <f aca="false">+5930969899120</f>
        <v>5930969899120</v>
      </c>
      <c r="H2595" s="46" t="s">
        <v>6040</v>
      </c>
      <c r="I2595" s="46"/>
      <c r="J2595" s="1"/>
      <c r="K2595" s="1" t="s">
        <v>21</v>
      </c>
      <c r="L2595" s="1"/>
      <c r="M2595" s="1"/>
      <c r="N2595" s="1"/>
      <c r="O2595" s="1"/>
      <c r="P2595" s="6"/>
      <c r="Q2595" s="1"/>
      <c r="R2595" s="1"/>
      <c r="S2595" s="1"/>
      <c r="T2595" s="1"/>
      <c r="U2595" s="1"/>
      <c r="V2595" s="1"/>
      <c r="W2595" s="1"/>
      <c r="X2595" s="1"/>
      <c r="Y2595" s="1"/>
      <c r="Z2595" s="1"/>
    </row>
    <row r="2596" customFormat="false" ht="21.75" hidden="false" customHeight="true" outlineLevel="0" collapsed="false">
      <c r="A2596" s="4" t="n">
        <v>43500</v>
      </c>
      <c r="B2596" s="53" t="s">
        <v>48</v>
      </c>
      <c r="C2596" s="46" t="s">
        <v>15</v>
      </c>
      <c r="D2596" s="55" t="s">
        <v>43</v>
      </c>
      <c r="E2596" s="55" t="s">
        <v>44</v>
      </c>
      <c r="F2596" s="46" t="s">
        <v>6041</v>
      </c>
      <c r="G2596" s="46" t="n">
        <f aca="false">+593986302635</f>
        <v>593986302635</v>
      </c>
      <c r="H2596" s="46" t="s">
        <v>6042</v>
      </c>
      <c r="I2596" s="46"/>
      <c r="J2596" s="1"/>
      <c r="K2596" s="1" t="s">
        <v>21</v>
      </c>
      <c r="L2596" s="1"/>
      <c r="M2596" s="1"/>
      <c r="N2596" s="1"/>
      <c r="O2596" s="1"/>
      <c r="P2596" s="6"/>
      <c r="Q2596" s="1"/>
      <c r="R2596" s="1"/>
      <c r="S2596" s="1"/>
      <c r="T2596" s="1"/>
      <c r="U2596" s="1"/>
      <c r="V2596" s="1"/>
      <c r="W2596" s="1"/>
      <c r="X2596" s="1"/>
      <c r="Y2596" s="1"/>
      <c r="Z2596" s="1"/>
    </row>
    <row r="2597" customFormat="false" ht="21.75" hidden="false" customHeight="true" outlineLevel="0" collapsed="false">
      <c r="A2597" s="4" t="n">
        <v>43500</v>
      </c>
      <c r="B2597" s="53" t="s">
        <v>48</v>
      </c>
      <c r="C2597" s="46" t="s">
        <v>15</v>
      </c>
      <c r="D2597" s="55" t="s">
        <v>43</v>
      </c>
      <c r="E2597" s="55" t="s">
        <v>44</v>
      </c>
      <c r="F2597" s="46" t="s">
        <v>6043</v>
      </c>
      <c r="G2597" s="46" t="n">
        <f aca="false">+593985072781</f>
        <v>593985072781</v>
      </c>
      <c r="H2597" s="46" t="s">
        <v>6044</v>
      </c>
      <c r="I2597" s="46"/>
      <c r="J2597" s="1"/>
      <c r="K2597" s="1" t="s">
        <v>21</v>
      </c>
      <c r="L2597" s="1"/>
      <c r="M2597" s="1"/>
      <c r="N2597" s="1"/>
      <c r="O2597" s="1"/>
      <c r="P2597" s="6"/>
      <c r="Q2597" s="1"/>
      <c r="R2597" s="1"/>
      <c r="S2597" s="1"/>
      <c r="T2597" s="1"/>
      <c r="U2597" s="1"/>
      <c r="V2597" s="1"/>
      <c r="W2597" s="1"/>
      <c r="X2597" s="1"/>
      <c r="Y2597" s="1"/>
      <c r="Z2597" s="1"/>
    </row>
    <row r="2598" customFormat="false" ht="21.75" hidden="false" customHeight="true" outlineLevel="0" collapsed="false">
      <c r="A2598" s="4" t="n">
        <v>43500</v>
      </c>
      <c r="B2598" s="53" t="s">
        <v>48</v>
      </c>
      <c r="C2598" s="46" t="s">
        <v>15</v>
      </c>
      <c r="D2598" s="55" t="s">
        <v>43</v>
      </c>
      <c r="E2598" s="55" t="s">
        <v>44</v>
      </c>
      <c r="F2598" s="46" t="s">
        <v>6045</v>
      </c>
      <c r="G2598" s="46" t="n">
        <f aca="false">+593982236948</f>
        <v>593982236948</v>
      </c>
      <c r="H2598" s="46" t="s">
        <v>6046</v>
      </c>
      <c r="I2598" s="46"/>
      <c r="J2598" s="1"/>
      <c r="K2598" s="1" t="s">
        <v>21</v>
      </c>
      <c r="L2598" s="1"/>
      <c r="M2598" s="1"/>
      <c r="N2598" s="1"/>
      <c r="O2598" s="1"/>
      <c r="P2598" s="6"/>
      <c r="Q2598" s="1"/>
      <c r="R2598" s="1"/>
      <c r="S2598" s="1"/>
      <c r="T2598" s="1"/>
      <c r="U2598" s="1"/>
      <c r="V2598" s="1"/>
      <c r="W2598" s="1"/>
      <c r="X2598" s="1"/>
      <c r="Y2598" s="1"/>
      <c r="Z2598" s="1"/>
    </row>
    <row r="2599" customFormat="false" ht="21.75" hidden="false" customHeight="true" outlineLevel="0" collapsed="false">
      <c r="A2599" s="4" t="n">
        <v>43500</v>
      </c>
      <c r="B2599" s="53" t="s">
        <v>48</v>
      </c>
      <c r="C2599" s="46" t="s">
        <v>15</v>
      </c>
      <c r="D2599" s="55" t="s">
        <v>43</v>
      </c>
      <c r="E2599" s="55" t="s">
        <v>44</v>
      </c>
      <c r="F2599" s="46" t="s">
        <v>6047</v>
      </c>
      <c r="G2599" s="46" t="n">
        <f aca="false">+5930986759459</f>
        <v>5930986759459</v>
      </c>
      <c r="H2599" s="46" t="s">
        <v>6048</v>
      </c>
      <c r="I2599" s="46"/>
      <c r="J2599" s="1"/>
      <c r="K2599" s="1" t="s">
        <v>21</v>
      </c>
      <c r="L2599" s="1"/>
      <c r="M2599" s="1"/>
      <c r="N2599" s="1"/>
      <c r="O2599" s="1"/>
      <c r="P2599" s="6"/>
      <c r="Q2599" s="1"/>
      <c r="R2599" s="1"/>
      <c r="S2599" s="1"/>
      <c r="T2599" s="1"/>
      <c r="U2599" s="1"/>
      <c r="V2599" s="1"/>
      <c r="W2599" s="1"/>
      <c r="X2599" s="1"/>
      <c r="Y2599" s="1"/>
      <c r="Z2599" s="1"/>
    </row>
    <row r="2600" customFormat="false" ht="21.75" hidden="false" customHeight="true" outlineLevel="0" collapsed="false">
      <c r="A2600" s="4" t="n">
        <v>43500</v>
      </c>
      <c r="B2600" s="53" t="s">
        <v>48</v>
      </c>
      <c r="C2600" s="46" t="s">
        <v>15</v>
      </c>
      <c r="D2600" s="55" t="s">
        <v>43</v>
      </c>
      <c r="E2600" s="55" t="s">
        <v>44</v>
      </c>
      <c r="F2600" s="46" t="s">
        <v>6049</v>
      </c>
      <c r="G2600" s="46" t="n">
        <f aca="false">+593991135341</f>
        <v>593991135341</v>
      </c>
      <c r="H2600" s="46" t="s">
        <v>6050</v>
      </c>
      <c r="I2600" s="46"/>
      <c r="J2600" s="1"/>
      <c r="K2600" s="1" t="s">
        <v>5076</v>
      </c>
      <c r="L2600" s="1"/>
      <c r="M2600" s="1"/>
      <c r="N2600" s="1"/>
      <c r="O2600" s="1"/>
      <c r="P2600" s="6"/>
      <c r="Q2600" s="1"/>
      <c r="R2600" s="1"/>
      <c r="S2600" s="1"/>
      <c r="T2600" s="1"/>
      <c r="U2600" s="1"/>
      <c r="V2600" s="1"/>
      <c r="W2600" s="1"/>
      <c r="X2600" s="1"/>
      <c r="Y2600" s="1"/>
      <c r="Z2600" s="1"/>
    </row>
    <row r="2601" customFormat="false" ht="21.75" hidden="false" customHeight="true" outlineLevel="0" collapsed="false">
      <c r="A2601" s="4" t="n">
        <v>43500</v>
      </c>
      <c r="B2601" s="53" t="s">
        <v>48</v>
      </c>
      <c r="C2601" s="46" t="s">
        <v>15</v>
      </c>
      <c r="D2601" s="55" t="s">
        <v>43</v>
      </c>
      <c r="E2601" s="55" t="s">
        <v>44</v>
      </c>
      <c r="F2601" s="46" t="s">
        <v>6051</v>
      </c>
      <c r="G2601" s="46" t="n">
        <f aca="false">+5930985110889</f>
        <v>5930985110889</v>
      </c>
      <c r="H2601" s="46" t="s">
        <v>6052</v>
      </c>
      <c r="I2601" s="46"/>
      <c r="J2601" s="1"/>
      <c r="K2601" s="1" t="s">
        <v>6053</v>
      </c>
      <c r="L2601" s="1"/>
      <c r="M2601" s="1"/>
      <c r="N2601" s="1"/>
      <c r="O2601" s="1"/>
      <c r="P2601" s="6"/>
      <c r="Q2601" s="1"/>
      <c r="R2601" s="1"/>
      <c r="S2601" s="1"/>
      <c r="T2601" s="1"/>
      <c r="U2601" s="1"/>
      <c r="V2601" s="1"/>
      <c r="W2601" s="1"/>
      <c r="X2601" s="1"/>
      <c r="Y2601" s="1"/>
      <c r="Z2601" s="1"/>
    </row>
    <row r="2602" customFormat="false" ht="21.75" hidden="false" customHeight="true" outlineLevel="0" collapsed="false">
      <c r="A2602" s="4" t="n">
        <v>43500</v>
      </c>
      <c r="B2602" s="53" t="s">
        <v>48</v>
      </c>
      <c r="C2602" s="46" t="s">
        <v>15</v>
      </c>
      <c r="D2602" s="55" t="s">
        <v>43</v>
      </c>
      <c r="E2602" s="55" t="s">
        <v>44</v>
      </c>
      <c r="F2602" s="46" t="s">
        <v>6054</v>
      </c>
      <c r="G2602" s="46" t="n">
        <f aca="false">+5930939006886</f>
        <v>5930939006886</v>
      </c>
      <c r="H2602" s="46" t="s">
        <v>6055</v>
      </c>
      <c r="I2602" s="46"/>
      <c r="J2602" s="1"/>
      <c r="K2602" s="1" t="s">
        <v>6056</v>
      </c>
      <c r="L2602" s="1"/>
      <c r="M2602" s="1"/>
      <c r="N2602" s="1"/>
      <c r="O2602" s="1"/>
      <c r="P2602" s="6"/>
      <c r="Q2602" s="1"/>
      <c r="R2602" s="1"/>
      <c r="S2602" s="1"/>
      <c r="T2602" s="1"/>
      <c r="U2602" s="1"/>
      <c r="V2602" s="1"/>
      <c r="W2602" s="1"/>
      <c r="X2602" s="1"/>
      <c r="Y2602" s="1"/>
      <c r="Z2602" s="1"/>
    </row>
    <row r="2603" customFormat="false" ht="21.75" hidden="false" customHeight="true" outlineLevel="0" collapsed="false">
      <c r="A2603" s="4" t="n">
        <v>43500</v>
      </c>
      <c r="B2603" s="53" t="s">
        <v>48</v>
      </c>
      <c r="C2603" s="46" t="s">
        <v>26</v>
      </c>
      <c r="D2603" s="55" t="s">
        <v>43</v>
      </c>
      <c r="E2603" s="55" t="s">
        <v>44</v>
      </c>
      <c r="F2603" s="46" t="s">
        <v>6057</v>
      </c>
      <c r="G2603" s="46" t="n">
        <f aca="false">+5930981954264</f>
        <v>5930981954264</v>
      </c>
      <c r="H2603" s="46" t="s">
        <v>6058</v>
      </c>
      <c r="I2603" s="46"/>
      <c r="J2603" s="1"/>
      <c r="K2603" s="1" t="s">
        <v>21</v>
      </c>
      <c r="L2603" s="1"/>
      <c r="M2603" s="1"/>
      <c r="N2603" s="1"/>
      <c r="O2603" s="1"/>
      <c r="P2603" s="6"/>
      <c r="Q2603" s="1"/>
      <c r="R2603" s="1"/>
      <c r="S2603" s="1"/>
      <c r="T2603" s="1"/>
      <c r="U2603" s="1"/>
      <c r="V2603" s="1"/>
      <c r="W2603" s="1"/>
      <c r="X2603" s="1"/>
      <c r="Y2603" s="1"/>
      <c r="Z2603" s="1"/>
    </row>
    <row r="2604" customFormat="false" ht="21.75" hidden="false" customHeight="true" outlineLevel="0" collapsed="false">
      <c r="A2604" s="4" t="n">
        <v>43500</v>
      </c>
      <c r="B2604" s="53" t="s">
        <v>48</v>
      </c>
      <c r="C2604" s="46" t="s">
        <v>15</v>
      </c>
      <c r="D2604" s="55" t="s">
        <v>43</v>
      </c>
      <c r="E2604" s="55" t="s">
        <v>44</v>
      </c>
      <c r="F2604" s="46" t="s">
        <v>6059</v>
      </c>
      <c r="G2604" s="46" t="n">
        <f aca="false">+593967326765</f>
        <v>593967326765</v>
      </c>
      <c r="H2604" s="46" t="s">
        <v>6060</v>
      </c>
      <c r="I2604" s="46"/>
      <c r="J2604" s="1"/>
      <c r="K2604" s="1" t="s">
        <v>21</v>
      </c>
      <c r="L2604" s="1"/>
      <c r="M2604" s="1"/>
      <c r="N2604" s="1"/>
      <c r="O2604" s="1"/>
      <c r="P2604" s="6"/>
      <c r="Q2604" s="1"/>
      <c r="R2604" s="1"/>
      <c r="S2604" s="1"/>
      <c r="T2604" s="1"/>
      <c r="U2604" s="1"/>
      <c r="V2604" s="1"/>
      <c r="W2604" s="1"/>
      <c r="X2604" s="1"/>
      <c r="Y2604" s="1"/>
      <c r="Z2604" s="1"/>
    </row>
    <row r="2605" customFormat="false" ht="21.75" hidden="false" customHeight="true" outlineLevel="0" collapsed="false">
      <c r="A2605" s="4" t="n">
        <v>43500</v>
      </c>
      <c r="B2605" s="53" t="s">
        <v>48</v>
      </c>
      <c r="C2605" s="46" t="s">
        <v>26</v>
      </c>
      <c r="D2605" s="55" t="s">
        <v>43</v>
      </c>
      <c r="E2605" s="55" t="s">
        <v>44</v>
      </c>
      <c r="F2605" s="46" t="s">
        <v>6061</v>
      </c>
      <c r="G2605" s="46" t="n">
        <f aca="false">+5930996324261</f>
        <v>5930996324261</v>
      </c>
      <c r="H2605" s="46" t="s">
        <v>6062</v>
      </c>
      <c r="I2605" s="46"/>
      <c r="J2605" s="1"/>
      <c r="K2605" s="1" t="s">
        <v>1857</v>
      </c>
      <c r="L2605" s="1"/>
      <c r="M2605" s="1"/>
      <c r="N2605" s="1"/>
      <c r="O2605" s="1"/>
      <c r="P2605" s="6"/>
      <c r="Q2605" s="1"/>
      <c r="R2605" s="1"/>
      <c r="S2605" s="1"/>
      <c r="T2605" s="1"/>
      <c r="U2605" s="1"/>
      <c r="V2605" s="1"/>
      <c r="W2605" s="1"/>
      <c r="X2605" s="1"/>
      <c r="Y2605" s="1"/>
      <c r="Z2605" s="1"/>
    </row>
    <row r="2606" customFormat="false" ht="21.75" hidden="false" customHeight="true" outlineLevel="0" collapsed="false">
      <c r="A2606" s="4" t="n">
        <v>43500</v>
      </c>
      <c r="B2606" s="53" t="s">
        <v>48</v>
      </c>
      <c r="C2606" s="46" t="s">
        <v>15</v>
      </c>
      <c r="D2606" s="55" t="s">
        <v>43</v>
      </c>
      <c r="E2606" s="55" t="s">
        <v>44</v>
      </c>
      <c r="F2606" s="46" t="s">
        <v>6063</v>
      </c>
      <c r="G2606" s="46" t="n">
        <f aca="false">+5930986713585</f>
        <v>5930986713585</v>
      </c>
      <c r="H2606" s="46" t="s">
        <v>6064</v>
      </c>
      <c r="I2606" s="46"/>
      <c r="J2606" s="1"/>
      <c r="K2606" s="1" t="s">
        <v>21</v>
      </c>
      <c r="L2606" s="1"/>
      <c r="M2606" s="1"/>
      <c r="N2606" s="1"/>
      <c r="O2606" s="1"/>
      <c r="P2606" s="6"/>
      <c r="Q2606" s="1"/>
      <c r="R2606" s="1"/>
      <c r="S2606" s="1"/>
      <c r="T2606" s="1"/>
      <c r="U2606" s="1"/>
      <c r="V2606" s="1"/>
      <c r="W2606" s="1"/>
      <c r="X2606" s="1"/>
      <c r="Y2606" s="1"/>
      <c r="Z2606" s="1"/>
    </row>
    <row r="2607" customFormat="false" ht="21.75" hidden="false" customHeight="true" outlineLevel="0" collapsed="false">
      <c r="A2607" s="4" t="n">
        <v>43500</v>
      </c>
      <c r="B2607" s="53" t="s">
        <v>127</v>
      </c>
      <c r="C2607" s="46" t="s">
        <v>15</v>
      </c>
      <c r="D2607" s="55" t="s">
        <v>43</v>
      </c>
      <c r="E2607" s="55" t="s">
        <v>44</v>
      </c>
      <c r="F2607" s="46" t="s">
        <v>6065</v>
      </c>
      <c r="G2607" s="46" t="n">
        <f aca="false">+593983168352</f>
        <v>593983168352</v>
      </c>
      <c r="H2607" s="46" t="s">
        <v>6066</v>
      </c>
      <c r="I2607" s="46"/>
      <c r="J2607" s="1"/>
      <c r="K2607" s="1" t="s">
        <v>21</v>
      </c>
      <c r="L2607" s="1"/>
      <c r="M2607" s="1"/>
      <c r="N2607" s="1"/>
      <c r="O2607" s="1"/>
      <c r="P2607" s="6"/>
      <c r="Q2607" s="1"/>
      <c r="R2607" s="1"/>
      <c r="S2607" s="1"/>
      <c r="T2607" s="1"/>
      <c r="U2607" s="1"/>
      <c r="V2607" s="1"/>
      <c r="W2607" s="1"/>
      <c r="X2607" s="1"/>
      <c r="Y2607" s="1"/>
      <c r="Z2607" s="1"/>
    </row>
    <row r="2608" customFormat="false" ht="21.75" hidden="false" customHeight="true" outlineLevel="0" collapsed="false">
      <c r="A2608" s="4" t="n">
        <v>43500</v>
      </c>
      <c r="B2608" s="53" t="s">
        <v>127</v>
      </c>
      <c r="C2608" s="46" t="s">
        <v>15</v>
      </c>
      <c r="D2608" s="55" t="s">
        <v>43</v>
      </c>
      <c r="E2608" s="55" t="s">
        <v>44</v>
      </c>
      <c r="F2608" s="46" t="s">
        <v>6067</v>
      </c>
      <c r="G2608" s="46" t="n">
        <f aca="false">+593990862991</f>
        <v>593990862991</v>
      </c>
      <c r="H2608" s="46" t="s">
        <v>6068</v>
      </c>
      <c r="I2608" s="46"/>
      <c r="J2608" s="1"/>
      <c r="K2608" s="1" t="s">
        <v>21</v>
      </c>
      <c r="L2608" s="1"/>
      <c r="M2608" s="1"/>
      <c r="N2608" s="1"/>
      <c r="O2608" s="1"/>
      <c r="P2608" s="6"/>
      <c r="Q2608" s="1"/>
      <c r="R2608" s="1"/>
      <c r="S2608" s="1"/>
      <c r="T2608" s="1"/>
      <c r="U2608" s="1"/>
      <c r="V2608" s="1"/>
      <c r="W2608" s="1"/>
      <c r="X2608" s="1"/>
      <c r="Y2608" s="1"/>
      <c r="Z2608" s="1"/>
    </row>
    <row r="2609" customFormat="false" ht="21.75" hidden="false" customHeight="true" outlineLevel="0" collapsed="false">
      <c r="A2609" s="4" t="n">
        <v>43500</v>
      </c>
      <c r="B2609" s="53" t="s">
        <v>127</v>
      </c>
      <c r="C2609" s="46" t="s">
        <v>15</v>
      </c>
      <c r="D2609" s="55" t="s">
        <v>43</v>
      </c>
      <c r="E2609" s="55" t="s">
        <v>44</v>
      </c>
      <c r="F2609" s="46" t="s">
        <v>6069</v>
      </c>
      <c r="G2609" s="46" t="n">
        <f aca="false">+593982608651</f>
        <v>593982608651</v>
      </c>
      <c r="H2609" s="46" t="s">
        <v>6070</v>
      </c>
      <c r="I2609" s="46"/>
      <c r="J2609" s="1"/>
      <c r="K2609" s="1" t="s">
        <v>6071</v>
      </c>
      <c r="L2609" s="1"/>
      <c r="M2609" s="1"/>
      <c r="N2609" s="1"/>
      <c r="O2609" s="1"/>
      <c r="P2609" s="6"/>
      <c r="Q2609" s="1"/>
      <c r="R2609" s="1"/>
      <c r="S2609" s="1"/>
      <c r="T2609" s="1"/>
      <c r="U2609" s="1"/>
      <c r="V2609" s="1"/>
      <c r="W2609" s="1"/>
      <c r="X2609" s="1"/>
      <c r="Y2609" s="1"/>
      <c r="Z2609" s="1"/>
    </row>
    <row r="2610" customFormat="false" ht="21.75" hidden="false" customHeight="true" outlineLevel="0" collapsed="false">
      <c r="A2610" s="4" t="n">
        <v>43500</v>
      </c>
      <c r="B2610" s="53" t="s">
        <v>42</v>
      </c>
      <c r="C2610" s="46" t="s">
        <v>15</v>
      </c>
      <c r="D2610" s="55" t="s">
        <v>43</v>
      </c>
      <c r="E2610" s="55" t="s">
        <v>44</v>
      </c>
      <c r="F2610" s="46" t="s">
        <v>6072</v>
      </c>
      <c r="G2610" s="46" t="n">
        <v>593995361409</v>
      </c>
      <c r="H2610" s="46" t="s">
        <v>6073</v>
      </c>
      <c r="I2610" s="46"/>
      <c r="J2610" s="1"/>
      <c r="K2610" s="1" t="s">
        <v>21</v>
      </c>
      <c r="L2610" s="1"/>
      <c r="M2610" s="1"/>
      <c r="N2610" s="1"/>
      <c r="O2610" s="1"/>
      <c r="P2610" s="6"/>
      <c r="Q2610" s="1"/>
      <c r="R2610" s="1"/>
      <c r="S2610" s="1"/>
      <c r="T2610" s="1"/>
      <c r="U2610" s="1"/>
      <c r="V2610" s="1"/>
      <c r="W2610" s="1"/>
      <c r="X2610" s="1"/>
      <c r="Y2610" s="1"/>
      <c r="Z2610" s="1"/>
    </row>
    <row r="2611" customFormat="false" ht="21.75" hidden="false" customHeight="true" outlineLevel="0" collapsed="false">
      <c r="A2611" s="4" t="n">
        <v>43500</v>
      </c>
      <c r="B2611" s="53" t="s">
        <v>42</v>
      </c>
      <c r="C2611" s="46" t="s">
        <v>15</v>
      </c>
      <c r="D2611" s="55" t="s">
        <v>43</v>
      </c>
      <c r="E2611" s="55" t="s">
        <v>44</v>
      </c>
      <c r="F2611" s="46" t="s">
        <v>6074</v>
      </c>
      <c r="G2611" s="46" t="n">
        <f aca="false">+593994154509</f>
        <v>593994154509</v>
      </c>
      <c r="H2611" s="46" t="s">
        <v>6075</v>
      </c>
      <c r="I2611" s="46"/>
      <c r="J2611" s="1"/>
      <c r="K2611" s="1" t="s">
        <v>6076</v>
      </c>
      <c r="L2611" s="1"/>
      <c r="M2611" s="1"/>
      <c r="N2611" s="1"/>
      <c r="O2611" s="1"/>
      <c r="P2611" s="6"/>
      <c r="Q2611" s="1"/>
      <c r="R2611" s="1"/>
      <c r="S2611" s="1"/>
      <c r="T2611" s="1"/>
      <c r="U2611" s="1"/>
      <c r="V2611" s="1"/>
      <c r="W2611" s="1"/>
      <c r="X2611" s="1"/>
      <c r="Y2611" s="1"/>
      <c r="Z2611" s="1"/>
    </row>
    <row r="2612" customFormat="false" ht="21.75" hidden="false" customHeight="true" outlineLevel="0" collapsed="false">
      <c r="A2612" s="4" t="n">
        <v>43500</v>
      </c>
      <c r="B2612" s="53" t="s">
        <v>42</v>
      </c>
      <c r="C2612" s="46" t="s">
        <v>15</v>
      </c>
      <c r="D2612" s="55" t="s">
        <v>43</v>
      </c>
      <c r="E2612" s="55" t="s">
        <v>44</v>
      </c>
      <c r="F2612" s="46" t="s">
        <v>6077</v>
      </c>
      <c r="G2612" s="46" t="n">
        <f aca="false">+593987342729</f>
        <v>593987342729</v>
      </c>
      <c r="H2612" s="46" t="s">
        <v>6078</v>
      </c>
      <c r="I2612" s="46"/>
      <c r="J2612" s="1"/>
      <c r="K2612" s="1" t="s">
        <v>6079</v>
      </c>
      <c r="L2612" s="1"/>
      <c r="M2612" s="1"/>
      <c r="N2612" s="1"/>
      <c r="O2612" s="1"/>
      <c r="P2612" s="6"/>
      <c r="Q2612" s="1"/>
      <c r="R2612" s="1"/>
      <c r="S2612" s="1"/>
      <c r="T2612" s="1"/>
      <c r="U2612" s="1"/>
      <c r="V2612" s="1"/>
      <c r="W2612" s="1"/>
      <c r="X2612" s="1"/>
      <c r="Y2612" s="1"/>
      <c r="Z2612" s="1"/>
    </row>
    <row r="2613" customFormat="false" ht="21.75" hidden="false" customHeight="true" outlineLevel="0" collapsed="false">
      <c r="A2613" s="4" t="n">
        <v>43500</v>
      </c>
      <c r="B2613" s="53" t="s">
        <v>42</v>
      </c>
      <c r="C2613" s="46" t="s">
        <v>15</v>
      </c>
      <c r="D2613" s="55" t="s">
        <v>43</v>
      </c>
      <c r="E2613" s="55" t="s">
        <v>44</v>
      </c>
      <c r="F2613" s="46" t="s">
        <v>6080</v>
      </c>
      <c r="G2613" s="46" t="n">
        <f aca="false">+5930990160688</f>
        <v>5930990160688</v>
      </c>
      <c r="H2613" s="46" t="s">
        <v>6081</v>
      </c>
      <c r="I2613" s="46"/>
      <c r="J2613" s="1"/>
      <c r="K2613" s="1" t="s">
        <v>1144</v>
      </c>
      <c r="L2613" s="1"/>
      <c r="M2613" s="1"/>
      <c r="N2613" s="1"/>
      <c r="O2613" s="1"/>
      <c r="P2613" s="6"/>
      <c r="Q2613" s="1"/>
      <c r="R2613" s="1"/>
      <c r="S2613" s="1"/>
      <c r="T2613" s="1"/>
      <c r="U2613" s="1"/>
      <c r="V2613" s="1"/>
      <c r="W2613" s="1"/>
      <c r="X2613" s="1"/>
      <c r="Y2613" s="1"/>
      <c r="Z2613" s="1"/>
    </row>
    <row r="2614" customFormat="false" ht="21.75" hidden="false" customHeight="true" outlineLevel="0" collapsed="false">
      <c r="A2614" s="4" t="n">
        <v>43500</v>
      </c>
      <c r="B2614" s="53" t="s">
        <v>42</v>
      </c>
      <c r="C2614" s="46" t="s">
        <v>15</v>
      </c>
      <c r="D2614" s="55" t="s">
        <v>43</v>
      </c>
      <c r="E2614" s="55" t="s">
        <v>44</v>
      </c>
      <c r="F2614" s="46" t="s">
        <v>6082</v>
      </c>
      <c r="G2614" s="46" t="n">
        <f aca="false">+593985520975</f>
        <v>593985520975</v>
      </c>
      <c r="H2614" s="46" t="s">
        <v>6083</v>
      </c>
      <c r="I2614" s="46"/>
      <c r="J2614" s="1"/>
      <c r="K2614" s="1" t="s">
        <v>21</v>
      </c>
      <c r="L2614" s="1"/>
      <c r="M2614" s="1"/>
      <c r="N2614" s="1"/>
      <c r="O2614" s="1"/>
      <c r="P2614" s="6"/>
      <c r="Q2614" s="1"/>
      <c r="R2614" s="1"/>
      <c r="S2614" s="1"/>
      <c r="T2614" s="1"/>
      <c r="U2614" s="1"/>
      <c r="V2614" s="1"/>
      <c r="W2614" s="1"/>
      <c r="X2614" s="1"/>
      <c r="Y2614" s="1"/>
      <c r="Z2614" s="1"/>
    </row>
    <row r="2615" customFormat="false" ht="21.75" hidden="false" customHeight="true" outlineLevel="0" collapsed="false">
      <c r="A2615" s="4" t="n">
        <v>43500</v>
      </c>
      <c r="B2615" s="53" t="s">
        <v>42</v>
      </c>
      <c r="C2615" s="46" t="s">
        <v>15</v>
      </c>
      <c r="D2615" s="55" t="s">
        <v>43</v>
      </c>
      <c r="E2615" s="55" t="s">
        <v>44</v>
      </c>
      <c r="F2615" s="46" t="s">
        <v>6084</v>
      </c>
      <c r="G2615" s="46" t="n">
        <f aca="false">+593989289288</f>
        <v>593989289288</v>
      </c>
      <c r="H2615" s="46" t="s">
        <v>6085</v>
      </c>
      <c r="I2615" s="46"/>
      <c r="J2615" s="1"/>
      <c r="K2615" s="1" t="s">
        <v>21</v>
      </c>
      <c r="L2615" s="1"/>
      <c r="M2615" s="1"/>
      <c r="N2615" s="1"/>
      <c r="O2615" s="1"/>
      <c r="P2615" s="6"/>
      <c r="Q2615" s="1"/>
      <c r="R2615" s="1"/>
      <c r="S2615" s="1"/>
      <c r="T2615" s="1"/>
      <c r="U2615" s="1"/>
      <c r="V2615" s="1"/>
      <c r="W2615" s="1"/>
      <c r="X2615" s="1"/>
      <c r="Y2615" s="1"/>
      <c r="Z2615" s="1"/>
    </row>
    <row r="2616" customFormat="false" ht="21.75" hidden="false" customHeight="true" outlineLevel="0" collapsed="false">
      <c r="A2616" s="4" t="n">
        <v>43500</v>
      </c>
      <c r="B2616" s="53" t="s">
        <v>42</v>
      </c>
      <c r="C2616" s="46" t="s">
        <v>15</v>
      </c>
      <c r="D2616" s="55" t="s">
        <v>43</v>
      </c>
      <c r="E2616" s="55" t="s">
        <v>44</v>
      </c>
      <c r="F2616" s="46" t="s">
        <v>6086</v>
      </c>
      <c r="G2616" s="46" t="n">
        <f aca="false">+5930983793293</f>
        <v>5930983793293</v>
      </c>
      <c r="H2616" s="46" t="s">
        <v>6087</v>
      </c>
      <c r="I2616" s="46"/>
      <c r="J2616" s="1"/>
      <c r="K2616" s="1" t="s">
        <v>2714</v>
      </c>
      <c r="L2616" s="1"/>
      <c r="M2616" s="1"/>
      <c r="N2616" s="1"/>
      <c r="O2616" s="1"/>
      <c r="P2616" s="6"/>
      <c r="Q2616" s="1"/>
      <c r="R2616" s="1"/>
      <c r="S2616" s="1"/>
      <c r="T2616" s="1"/>
      <c r="U2616" s="1"/>
      <c r="V2616" s="1"/>
      <c r="W2616" s="1"/>
      <c r="X2616" s="1"/>
      <c r="Y2616" s="1"/>
      <c r="Z2616" s="1"/>
    </row>
    <row r="2617" customFormat="false" ht="21.75" hidden="false" customHeight="true" outlineLevel="0" collapsed="false">
      <c r="A2617" s="4" t="n">
        <v>43500</v>
      </c>
      <c r="B2617" s="53" t="s">
        <v>415</v>
      </c>
      <c r="C2617" s="46" t="s">
        <v>15</v>
      </c>
      <c r="D2617" s="55" t="s">
        <v>43</v>
      </c>
      <c r="E2617" s="55" t="s">
        <v>44</v>
      </c>
      <c r="F2617" s="46" t="s">
        <v>6088</v>
      </c>
      <c r="G2617" s="46" t="n">
        <f aca="false">+593990132484</f>
        <v>593990132484</v>
      </c>
      <c r="H2617" s="46" t="s">
        <v>6089</v>
      </c>
      <c r="I2617" s="46"/>
      <c r="J2617" s="1"/>
      <c r="K2617" s="1" t="s">
        <v>21</v>
      </c>
      <c r="L2617" s="1"/>
      <c r="M2617" s="1"/>
      <c r="N2617" s="1"/>
      <c r="O2617" s="1"/>
      <c r="P2617" s="6"/>
      <c r="Q2617" s="1"/>
      <c r="R2617" s="1"/>
      <c r="S2617" s="1"/>
      <c r="T2617" s="1"/>
      <c r="U2617" s="1"/>
      <c r="V2617" s="1"/>
      <c r="W2617" s="1"/>
      <c r="X2617" s="1"/>
      <c r="Y2617" s="1"/>
      <c r="Z2617" s="1"/>
    </row>
    <row r="2618" customFormat="false" ht="21.75" hidden="false" customHeight="true" outlineLevel="0" collapsed="false">
      <c r="A2618" s="4" t="n">
        <v>43500</v>
      </c>
      <c r="B2618" s="53" t="s">
        <v>415</v>
      </c>
      <c r="C2618" s="46" t="s">
        <v>26</v>
      </c>
      <c r="D2618" s="55" t="s">
        <v>43</v>
      </c>
      <c r="E2618" s="55" t="s">
        <v>44</v>
      </c>
      <c r="F2618" s="46" t="s">
        <v>6090</v>
      </c>
      <c r="G2618" s="46" t="n">
        <f aca="false">+593999662252</f>
        <v>593999662252</v>
      </c>
      <c r="H2618" s="46" t="s">
        <v>6091</v>
      </c>
      <c r="I2618" s="46"/>
      <c r="J2618" s="1"/>
      <c r="K2618" s="1" t="s">
        <v>6092</v>
      </c>
      <c r="L2618" s="1"/>
      <c r="M2618" s="1"/>
      <c r="N2618" s="1"/>
      <c r="O2618" s="1"/>
      <c r="P2618" s="6"/>
      <c r="Q2618" s="1"/>
      <c r="R2618" s="1"/>
      <c r="S2618" s="1"/>
      <c r="T2618" s="1"/>
      <c r="U2618" s="1"/>
      <c r="V2618" s="1"/>
      <c r="W2618" s="1"/>
      <c r="X2618" s="1"/>
      <c r="Y2618" s="1"/>
      <c r="Z2618" s="1"/>
    </row>
    <row r="2619" customFormat="false" ht="21.75" hidden="false" customHeight="true" outlineLevel="0" collapsed="false">
      <c r="A2619" s="4" t="n">
        <v>43500</v>
      </c>
      <c r="B2619" s="53" t="s">
        <v>415</v>
      </c>
      <c r="C2619" s="46" t="s">
        <v>15</v>
      </c>
      <c r="D2619" s="55" t="s">
        <v>43</v>
      </c>
      <c r="E2619" s="55" t="s">
        <v>44</v>
      </c>
      <c r="F2619" s="46" t="s">
        <v>6093</v>
      </c>
      <c r="G2619" s="46" t="n">
        <f aca="false">+5930997838176</f>
        <v>5930997838176</v>
      </c>
      <c r="H2619" s="46" t="s">
        <v>6094</v>
      </c>
      <c r="I2619" s="46"/>
      <c r="J2619" s="1"/>
      <c r="K2619" s="1" t="s">
        <v>6095</v>
      </c>
      <c r="L2619" s="1"/>
      <c r="M2619" s="1"/>
      <c r="N2619" s="1"/>
      <c r="O2619" s="1"/>
      <c r="P2619" s="6"/>
      <c r="Q2619" s="1"/>
      <c r="R2619" s="1"/>
      <c r="S2619" s="1"/>
      <c r="T2619" s="1"/>
      <c r="U2619" s="1"/>
      <c r="V2619" s="1"/>
      <c r="W2619" s="1"/>
      <c r="X2619" s="1"/>
      <c r="Y2619" s="1"/>
      <c r="Z2619" s="1"/>
    </row>
    <row r="2620" customFormat="false" ht="21.75" hidden="false" customHeight="true" outlineLevel="0" collapsed="false">
      <c r="A2620" s="4" t="n">
        <v>43500</v>
      </c>
      <c r="B2620" s="53" t="s">
        <v>178</v>
      </c>
      <c r="C2620" s="46" t="s">
        <v>15</v>
      </c>
      <c r="D2620" s="55" t="s">
        <v>43</v>
      </c>
      <c r="E2620" s="55" t="s">
        <v>44</v>
      </c>
      <c r="F2620" s="46" t="s">
        <v>6096</v>
      </c>
      <c r="G2620" s="46" t="n">
        <f aca="false">+593984881523</f>
        <v>593984881523</v>
      </c>
      <c r="H2620" s="46" t="s">
        <v>6097</v>
      </c>
      <c r="I2620" s="46"/>
      <c r="J2620" s="1"/>
      <c r="K2620" s="1" t="s">
        <v>21</v>
      </c>
      <c r="L2620" s="1"/>
      <c r="M2620" s="1"/>
      <c r="N2620" s="1"/>
      <c r="O2620" s="1"/>
      <c r="P2620" s="6"/>
      <c r="Q2620" s="1"/>
      <c r="R2620" s="1"/>
      <c r="S2620" s="1"/>
      <c r="T2620" s="1"/>
      <c r="U2620" s="1"/>
      <c r="V2620" s="1"/>
      <c r="W2620" s="1"/>
      <c r="X2620" s="1"/>
      <c r="Y2620" s="1"/>
      <c r="Z2620" s="1"/>
    </row>
    <row r="2621" customFormat="false" ht="21.75" hidden="false" customHeight="true" outlineLevel="0" collapsed="false">
      <c r="A2621" s="4" t="n">
        <v>43500</v>
      </c>
      <c r="B2621" s="53" t="s">
        <v>178</v>
      </c>
      <c r="C2621" s="46" t="s">
        <v>15</v>
      </c>
      <c r="D2621" s="55" t="s">
        <v>43</v>
      </c>
      <c r="E2621" s="55" t="s">
        <v>44</v>
      </c>
      <c r="F2621" s="46" t="s">
        <v>6098</v>
      </c>
      <c r="G2621" s="46" t="n">
        <f aca="false">+593994991285</f>
        <v>593994991285</v>
      </c>
      <c r="H2621" s="46" t="s">
        <v>6099</v>
      </c>
      <c r="I2621" s="46"/>
      <c r="J2621" s="1"/>
      <c r="K2621" s="1" t="s">
        <v>6100</v>
      </c>
      <c r="L2621" s="1"/>
      <c r="M2621" s="1"/>
      <c r="N2621" s="1"/>
      <c r="O2621" s="1"/>
      <c r="P2621" s="6"/>
      <c r="Q2621" s="1"/>
      <c r="R2621" s="1"/>
      <c r="S2621" s="1"/>
      <c r="T2621" s="1"/>
      <c r="U2621" s="1"/>
      <c r="V2621" s="1"/>
      <c r="W2621" s="1"/>
      <c r="X2621" s="1"/>
      <c r="Y2621" s="1"/>
      <c r="Z2621" s="1"/>
    </row>
    <row r="2622" customFormat="false" ht="21.75" hidden="false" customHeight="true" outlineLevel="0" collapsed="false">
      <c r="A2622" s="4" t="n">
        <v>43500</v>
      </c>
      <c r="B2622" s="53" t="s">
        <v>81</v>
      </c>
      <c r="C2622" s="46" t="s">
        <v>15</v>
      </c>
      <c r="D2622" s="55" t="s">
        <v>43</v>
      </c>
      <c r="E2622" s="55" t="s">
        <v>44</v>
      </c>
      <c r="F2622" s="46" t="s">
        <v>6101</v>
      </c>
      <c r="G2622" s="46" t="n">
        <f aca="false">+593984422621</f>
        <v>593984422621</v>
      </c>
      <c r="H2622" s="46" t="s">
        <v>6102</v>
      </c>
      <c r="I2622" s="46"/>
      <c r="J2622" s="1"/>
      <c r="K2622" s="1" t="s">
        <v>6103</v>
      </c>
      <c r="L2622" s="1"/>
      <c r="M2622" s="1"/>
      <c r="N2622" s="1"/>
      <c r="O2622" s="1"/>
      <c r="P2622" s="6"/>
      <c r="Q2622" s="1"/>
      <c r="R2622" s="1"/>
      <c r="S2622" s="1"/>
      <c r="T2622" s="1"/>
      <c r="U2622" s="1"/>
      <c r="V2622" s="1"/>
      <c r="W2622" s="1"/>
      <c r="X2622" s="1"/>
      <c r="Y2622" s="1"/>
      <c r="Z2622" s="1"/>
    </row>
    <row r="2623" customFormat="false" ht="21.75" hidden="false" customHeight="true" outlineLevel="0" collapsed="false">
      <c r="A2623" s="4" t="n">
        <v>43500</v>
      </c>
      <c r="B2623" s="53" t="s">
        <v>81</v>
      </c>
      <c r="C2623" s="46" t="s">
        <v>15</v>
      </c>
      <c r="D2623" s="55" t="s">
        <v>43</v>
      </c>
      <c r="E2623" s="55" t="s">
        <v>44</v>
      </c>
      <c r="F2623" s="46" t="s">
        <v>6104</v>
      </c>
      <c r="G2623" s="46" t="n">
        <f aca="false">+593983116666</f>
        <v>593983116666</v>
      </c>
      <c r="H2623" s="46" t="s">
        <v>6105</v>
      </c>
      <c r="I2623" s="46"/>
      <c r="J2623" s="1"/>
      <c r="K2623" s="1" t="s">
        <v>21</v>
      </c>
      <c r="L2623" s="1"/>
      <c r="M2623" s="1"/>
      <c r="N2623" s="1"/>
      <c r="O2623" s="1"/>
      <c r="P2623" s="6"/>
      <c r="Q2623" s="1"/>
      <c r="R2623" s="1"/>
      <c r="S2623" s="1"/>
      <c r="T2623" s="1"/>
      <c r="U2623" s="1"/>
      <c r="V2623" s="1"/>
      <c r="W2623" s="1"/>
      <c r="X2623" s="1"/>
      <c r="Y2623" s="1"/>
      <c r="Z2623" s="1"/>
    </row>
    <row r="2624" customFormat="false" ht="21.75" hidden="false" customHeight="true" outlineLevel="0" collapsed="false">
      <c r="A2624" s="4" t="n">
        <v>43500</v>
      </c>
      <c r="B2624" s="53" t="s">
        <v>81</v>
      </c>
      <c r="C2624" s="46" t="s">
        <v>15</v>
      </c>
      <c r="D2624" s="55" t="s">
        <v>43</v>
      </c>
      <c r="E2624" s="55" t="s">
        <v>44</v>
      </c>
      <c r="F2624" s="46" t="s">
        <v>6106</v>
      </c>
      <c r="G2624" s="46" t="n">
        <f aca="false">+5930968242621</f>
        <v>5930968242621</v>
      </c>
      <c r="H2624" s="46" t="s">
        <v>6107</v>
      </c>
      <c r="I2624" s="46"/>
      <c r="J2624" s="1"/>
      <c r="K2624" s="1" t="s">
        <v>21</v>
      </c>
      <c r="L2624" s="1"/>
      <c r="M2624" s="1"/>
      <c r="N2624" s="1"/>
      <c r="O2624" s="1"/>
      <c r="P2624" s="6"/>
      <c r="Q2624" s="1"/>
      <c r="R2624" s="1"/>
      <c r="S2624" s="1"/>
      <c r="T2624" s="1"/>
      <c r="U2624" s="1"/>
      <c r="V2624" s="1"/>
      <c r="W2624" s="1"/>
      <c r="X2624" s="1"/>
      <c r="Y2624" s="1"/>
      <c r="Z2624" s="1"/>
    </row>
    <row r="2625" customFormat="false" ht="21.75" hidden="false" customHeight="true" outlineLevel="0" collapsed="false">
      <c r="A2625" s="4" t="n">
        <v>43500</v>
      </c>
      <c r="B2625" s="53" t="s">
        <v>81</v>
      </c>
      <c r="C2625" s="46" t="s">
        <v>26</v>
      </c>
      <c r="D2625" s="55" t="s">
        <v>43</v>
      </c>
      <c r="E2625" s="55" t="s">
        <v>44</v>
      </c>
      <c r="F2625" s="46" t="s">
        <v>6108</v>
      </c>
      <c r="G2625" s="46" t="n">
        <f aca="false">+5930992762477</f>
        <v>5930992762477</v>
      </c>
      <c r="H2625" s="46" t="s">
        <v>6109</v>
      </c>
      <c r="I2625" s="46"/>
      <c r="J2625" s="1"/>
      <c r="K2625" s="1" t="s">
        <v>3372</v>
      </c>
      <c r="L2625" s="1"/>
      <c r="M2625" s="1"/>
      <c r="N2625" s="1"/>
      <c r="O2625" s="1"/>
      <c r="P2625" s="6"/>
      <c r="Q2625" s="1"/>
      <c r="R2625" s="1"/>
      <c r="S2625" s="1"/>
      <c r="T2625" s="1"/>
      <c r="U2625" s="1"/>
      <c r="V2625" s="1"/>
      <c r="W2625" s="1"/>
      <c r="X2625" s="1"/>
      <c r="Y2625" s="1"/>
      <c r="Z2625" s="1"/>
    </row>
    <row r="2626" customFormat="false" ht="21.75" hidden="false" customHeight="true" outlineLevel="0" collapsed="false">
      <c r="A2626" s="4" t="n">
        <v>43500</v>
      </c>
      <c r="B2626" s="53" t="s">
        <v>81</v>
      </c>
      <c r="C2626" s="46" t="s">
        <v>15</v>
      </c>
      <c r="D2626" s="55" t="s">
        <v>43</v>
      </c>
      <c r="E2626" s="55" t="s">
        <v>44</v>
      </c>
      <c r="F2626" s="46" t="s">
        <v>6110</v>
      </c>
      <c r="G2626" s="46" t="n">
        <f aca="false">+593987422917</f>
        <v>593987422917</v>
      </c>
      <c r="H2626" s="46" t="s">
        <v>6111</v>
      </c>
      <c r="I2626" s="46"/>
      <c r="J2626" s="1"/>
      <c r="K2626" s="1" t="s">
        <v>5168</v>
      </c>
      <c r="L2626" s="1"/>
      <c r="M2626" s="1"/>
      <c r="N2626" s="1"/>
      <c r="O2626" s="1"/>
      <c r="P2626" s="6"/>
      <c r="Q2626" s="1"/>
      <c r="R2626" s="1"/>
      <c r="S2626" s="1"/>
      <c r="T2626" s="1"/>
      <c r="U2626" s="1"/>
      <c r="V2626" s="1"/>
      <c r="W2626" s="1"/>
      <c r="X2626" s="1"/>
      <c r="Y2626" s="1"/>
      <c r="Z2626" s="1"/>
    </row>
    <row r="2627" customFormat="false" ht="21.75" hidden="false" customHeight="true" outlineLevel="0" collapsed="false">
      <c r="A2627" s="4" t="n">
        <v>43500</v>
      </c>
      <c r="B2627" s="53" t="s">
        <v>166</v>
      </c>
      <c r="C2627" s="46" t="s">
        <v>15</v>
      </c>
      <c r="D2627" s="55" t="s">
        <v>16</v>
      </c>
      <c r="E2627" s="55" t="s">
        <v>17</v>
      </c>
      <c r="F2627" s="46" t="s">
        <v>6112</v>
      </c>
      <c r="G2627" s="46" t="n">
        <f aca="false">+593982858457</f>
        <v>593982858457</v>
      </c>
      <c r="H2627" s="46" t="s">
        <v>6113</v>
      </c>
      <c r="I2627" s="46"/>
      <c r="J2627" s="1"/>
      <c r="K2627" s="1" t="s">
        <v>3372</v>
      </c>
      <c r="L2627" s="1"/>
      <c r="M2627" s="1"/>
      <c r="N2627" s="1"/>
      <c r="O2627" s="1"/>
      <c r="P2627" s="6"/>
      <c r="Q2627" s="1"/>
      <c r="R2627" s="1"/>
      <c r="S2627" s="1"/>
      <c r="T2627" s="1"/>
      <c r="U2627" s="1"/>
      <c r="V2627" s="1"/>
      <c r="W2627" s="1"/>
      <c r="X2627" s="1"/>
      <c r="Y2627" s="1"/>
      <c r="Z2627" s="1"/>
    </row>
    <row r="2628" customFormat="false" ht="21.75" hidden="false" customHeight="true" outlineLevel="0" collapsed="false">
      <c r="A2628" s="4" t="n">
        <v>43500</v>
      </c>
      <c r="B2628" s="53" t="s">
        <v>166</v>
      </c>
      <c r="C2628" s="46" t="s">
        <v>15</v>
      </c>
      <c r="D2628" s="55" t="s">
        <v>16</v>
      </c>
      <c r="E2628" s="55" t="s">
        <v>17</v>
      </c>
      <c r="F2628" s="46" t="s">
        <v>6114</v>
      </c>
      <c r="G2628" s="46" t="n">
        <f aca="false">+593984693840</f>
        <v>593984693840</v>
      </c>
      <c r="H2628" s="46" t="s">
        <v>6115</v>
      </c>
      <c r="I2628" s="46"/>
      <c r="J2628" s="1"/>
      <c r="K2628" s="1" t="s">
        <v>3372</v>
      </c>
      <c r="L2628" s="1"/>
      <c r="M2628" s="1"/>
      <c r="N2628" s="1"/>
      <c r="O2628" s="1"/>
      <c r="P2628" s="6"/>
      <c r="Q2628" s="1"/>
      <c r="R2628" s="1"/>
      <c r="S2628" s="1"/>
      <c r="T2628" s="1"/>
      <c r="U2628" s="1"/>
      <c r="V2628" s="1"/>
      <c r="W2628" s="1"/>
      <c r="X2628" s="1"/>
      <c r="Y2628" s="1"/>
      <c r="Z2628" s="1"/>
    </row>
    <row r="2629" customFormat="false" ht="21.75" hidden="false" customHeight="true" outlineLevel="0" collapsed="false">
      <c r="A2629" s="4" t="n">
        <v>43500</v>
      </c>
      <c r="B2629" s="53" t="s">
        <v>86</v>
      </c>
      <c r="C2629" s="46" t="s">
        <v>15</v>
      </c>
      <c r="D2629" s="55" t="s">
        <v>16</v>
      </c>
      <c r="E2629" s="55" t="s">
        <v>17</v>
      </c>
      <c r="F2629" s="46" t="s">
        <v>6116</v>
      </c>
      <c r="G2629" s="46" t="n">
        <f aca="false">+593985965308</f>
        <v>593985965308</v>
      </c>
      <c r="H2629" s="46" t="s">
        <v>6117</v>
      </c>
      <c r="I2629" s="46"/>
      <c r="J2629" s="1"/>
      <c r="K2629" s="1" t="s">
        <v>3404</v>
      </c>
      <c r="L2629" s="1"/>
      <c r="M2629" s="1"/>
      <c r="N2629" s="1"/>
      <c r="O2629" s="1"/>
      <c r="P2629" s="6"/>
      <c r="Q2629" s="1"/>
      <c r="R2629" s="1"/>
      <c r="S2629" s="1"/>
      <c r="T2629" s="1"/>
      <c r="U2629" s="1"/>
      <c r="V2629" s="1"/>
      <c r="W2629" s="1"/>
      <c r="X2629" s="1"/>
      <c r="Y2629" s="1"/>
      <c r="Z2629" s="1"/>
    </row>
    <row r="2630" customFormat="false" ht="21.75" hidden="false" customHeight="true" outlineLevel="0" collapsed="false">
      <c r="A2630" s="4" t="n">
        <v>43500</v>
      </c>
      <c r="B2630" s="53" t="s">
        <v>86</v>
      </c>
      <c r="C2630" s="46" t="s">
        <v>15</v>
      </c>
      <c r="D2630" s="55" t="s">
        <v>16</v>
      </c>
      <c r="E2630" s="55" t="s">
        <v>17</v>
      </c>
      <c r="F2630" s="46" t="s">
        <v>6118</v>
      </c>
      <c r="G2630" s="46" t="n">
        <f aca="false">+5930959917133</f>
        <v>5930959917133</v>
      </c>
      <c r="H2630" s="46" t="s">
        <v>6119</v>
      </c>
      <c r="I2630" s="46"/>
      <c r="J2630" s="1"/>
      <c r="K2630" s="1" t="s">
        <v>3380</v>
      </c>
      <c r="L2630" s="1"/>
      <c r="M2630" s="1"/>
      <c r="N2630" s="1"/>
      <c r="O2630" s="1"/>
      <c r="P2630" s="6"/>
      <c r="Q2630" s="1"/>
      <c r="R2630" s="1"/>
      <c r="S2630" s="1"/>
      <c r="T2630" s="1"/>
      <c r="U2630" s="1"/>
      <c r="V2630" s="1"/>
      <c r="W2630" s="1"/>
      <c r="X2630" s="1"/>
      <c r="Y2630" s="1"/>
      <c r="Z2630" s="1"/>
    </row>
    <row r="2631" customFormat="false" ht="21.75" hidden="false" customHeight="true" outlineLevel="0" collapsed="false">
      <c r="A2631" s="4" t="n">
        <v>43500</v>
      </c>
      <c r="B2631" s="53" t="s">
        <v>86</v>
      </c>
      <c r="C2631" s="46" t="s">
        <v>15</v>
      </c>
      <c r="D2631" s="55" t="s">
        <v>16</v>
      </c>
      <c r="E2631" s="55" t="s">
        <v>17</v>
      </c>
      <c r="F2631" s="46" t="s">
        <v>6120</v>
      </c>
      <c r="G2631" s="46" t="n">
        <f aca="false">+593980798868</f>
        <v>593980798868</v>
      </c>
      <c r="H2631" s="46" t="s">
        <v>6121</v>
      </c>
      <c r="I2631" s="46"/>
      <c r="J2631" s="1"/>
      <c r="K2631" s="1" t="s">
        <v>3372</v>
      </c>
      <c r="L2631" s="1"/>
      <c r="M2631" s="1"/>
      <c r="N2631" s="1"/>
      <c r="O2631" s="1"/>
      <c r="P2631" s="6"/>
      <c r="Q2631" s="1"/>
      <c r="R2631" s="1"/>
      <c r="S2631" s="1"/>
      <c r="T2631" s="1"/>
      <c r="U2631" s="1"/>
      <c r="V2631" s="1"/>
      <c r="W2631" s="1"/>
      <c r="X2631" s="1"/>
      <c r="Y2631" s="1"/>
      <c r="Z2631" s="1"/>
    </row>
    <row r="2632" customFormat="false" ht="21.75" hidden="false" customHeight="true" outlineLevel="0" collapsed="false">
      <c r="A2632" s="4" t="n">
        <v>43500</v>
      </c>
      <c r="B2632" s="53" t="s">
        <v>911</v>
      </c>
      <c r="C2632" s="46" t="s">
        <v>15</v>
      </c>
      <c r="D2632" s="55" t="s">
        <v>16</v>
      </c>
      <c r="E2632" s="55" t="s">
        <v>17</v>
      </c>
      <c r="F2632" s="46" t="s">
        <v>6122</v>
      </c>
      <c r="G2632" s="46" t="n">
        <f aca="false">+593989640323</f>
        <v>593989640323</v>
      </c>
      <c r="H2632" s="46" t="s">
        <v>6123</v>
      </c>
      <c r="I2632" s="46"/>
      <c r="J2632" s="1"/>
      <c r="K2632" s="1" t="s">
        <v>3380</v>
      </c>
      <c r="L2632" s="1"/>
      <c r="M2632" s="1"/>
      <c r="N2632" s="1"/>
      <c r="O2632" s="1"/>
      <c r="P2632" s="6"/>
      <c r="Q2632" s="1"/>
      <c r="R2632" s="1"/>
      <c r="S2632" s="1"/>
      <c r="T2632" s="1"/>
      <c r="U2632" s="1"/>
      <c r="V2632" s="1"/>
      <c r="W2632" s="1"/>
      <c r="X2632" s="1"/>
      <c r="Y2632" s="1"/>
      <c r="Z2632" s="1"/>
    </row>
    <row r="2633" customFormat="false" ht="21.75" hidden="false" customHeight="true" outlineLevel="0" collapsed="false">
      <c r="A2633" s="4" t="n">
        <v>43500</v>
      </c>
      <c r="B2633" s="53" t="s">
        <v>911</v>
      </c>
      <c r="C2633" s="46" t="s">
        <v>15</v>
      </c>
      <c r="D2633" s="55" t="s">
        <v>16</v>
      </c>
      <c r="E2633" s="55" t="s">
        <v>17</v>
      </c>
      <c r="F2633" s="46" t="s">
        <v>6124</v>
      </c>
      <c r="G2633" s="46" t="n">
        <f aca="false">+593997436257</f>
        <v>593997436257</v>
      </c>
      <c r="H2633" s="46" t="s">
        <v>6125</v>
      </c>
      <c r="I2633" s="46"/>
      <c r="J2633" s="1"/>
      <c r="K2633" s="1" t="s">
        <v>3623</v>
      </c>
      <c r="L2633" s="1"/>
      <c r="M2633" s="1"/>
      <c r="N2633" s="1"/>
      <c r="O2633" s="1"/>
      <c r="P2633" s="6"/>
      <c r="Q2633" s="1"/>
      <c r="R2633" s="1"/>
      <c r="S2633" s="1"/>
      <c r="T2633" s="1"/>
      <c r="U2633" s="1"/>
      <c r="V2633" s="1"/>
      <c r="W2633" s="1"/>
      <c r="X2633" s="1"/>
      <c r="Y2633" s="1"/>
      <c r="Z2633" s="1"/>
    </row>
    <row r="2634" customFormat="false" ht="21.75" hidden="false" customHeight="true" outlineLevel="0" collapsed="false">
      <c r="A2634" s="4" t="n">
        <v>43500</v>
      </c>
      <c r="B2634" s="53" t="s">
        <v>14</v>
      </c>
      <c r="C2634" s="46" t="s">
        <v>15</v>
      </c>
      <c r="D2634" s="55" t="s">
        <v>16</v>
      </c>
      <c r="E2634" s="55" t="s">
        <v>17</v>
      </c>
      <c r="F2634" s="46" t="s">
        <v>6126</v>
      </c>
      <c r="G2634" s="46" t="n">
        <f aca="false">+593981702008</f>
        <v>593981702008</v>
      </c>
      <c r="H2634" s="46" t="s">
        <v>6127</v>
      </c>
      <c r="I2634" s="46"/>
      <c r="J2634" s="1"/>
      <c r="K2634" s="1" t="s">
        <v>3404</v>
      </c>
      <c r="L2634" s="1"/>
      <c r="M2634" s="1"/>
      <c r="N2634" s="1"/>
      <c r="O2634" s="1"/>
      <c r="P2634" s="6"/>
      <c r="Q2634" s="1"/>
      <c r="R2634" s="1"/>
      <c r="S2634" s="1"/>
      <c r="T2634" s="1"/>
      <c r="U2634" s="1"/>
      <c r="V2634" s="1"/>
      <c r="W2634" s="1"/>
      <c r="X2634" s="1"/>
      <c r="Y2634" s="1"/>
      <c r="Z2634" s="1"/>
    </row>
    <row r="2635" customFormat="false" ht="21.75" hidden="false" customHeight="true" outlineLevel="0" collapsed="false">
      <c r="A2635" s="4" t="n">
        <v>43500</v>
      </c>
      <c r="B2635" s="53" t="s">
        <v>14</v>
      </c>
      <c r="C2635" s="46" t="s">
        <v>15</v>
      </c>
      <c r="D2635" s="55" t="s">
        <v>16</v>
      </c>
      <c r="E2635" s="55" t="s">
        <v>17</v>
      </c>
      <c r="F2635" s="46" t="s">
        <v>6128</v>
      </c>
      <c r="G2635" s="46" t="n">
        <f aca="false">+5930999376250</f>
        <v>5930999376250</v>
      </c>
      <c r="H2635" s="46" t="s">
        <v>6129</v>
      </c>
      <c r="I2635" s="46"/>
      <c r="J2635" s="1"/>
      <c r="K2635" s="1" t="s">
        <v>6130</v>
      </c>
      <c r="L2635" s="1"/>
      <c r="M2635" s="1"/>
      <c r="N2635" s="1"/>
      <c r="O2635" s="1"/>
      <c r="P2635" s="6"/>
      <c r="Q2635" s="1"/>
      <c r="R2635" s="1"/>
      <c r="S2635" s="1"/>
      <c r="T2635" s="1"/>
      <c r="U2635" s="1"/>
      <c r="V2635" s="1"/>
      <c r="W2635" s="1"/>
      <c r="X2635" s="1"/>
      <c r="Y2635" s="1"/>
      <c r="Z2635" s="1"/>
    </row>
    <row r="2636" customFormat="false" ht="21.75" hidden="false" customHeight="true" outlineLevel="0" collapsed="false">
      <c r="A2636" s="4" t="n">
        <v>43500</v>
      </c>
      <c r="B2636" s="53" t="s">
        <v>14</v>
      </c>
      <c r="C2636" s="46" t="s">
        <v>15</v>
      </c>
      <c r="D2636" s="55" t="s">
        <v>16</v>
      </c>
      <c r="E2636" s="55" t="s">
        <v>17</v>
      </c>
      <c r="F2636" s="46" t="s">
        <v>6131</v>
      </c>
      <c r="G2636" s="46" t="n">
        <f aca="false">+593993237757</f>
        <v>593993237757</v>
      </c>
      <c r="H2636" s="46" t="s">
        <v>6132</v>
      </c>
      <c r="I2636" s="46"/>
      <c r="J2636" s="1"/>
      <c r="K2636" s="1" t="s">
        <v>6133</v>
      </c>
      <c r="L2636" s="1"/>
      <c r="M2636" s="1"/>
      <c r="N2636" s="1"/>
      <c r="O2636" s="1"/>
      <c r="P2636" s="6"/>
      <c r="Q2636" s="1"/>
      <c r="R2636" s="1"/>
      <c r="S2636" s="1"/>
      <c r="T2636" s="1"/>
      <c r="U2636" s="1"/>
      <c r="V2636" s="1"/>
      <c r="W2636" s="1"/>
      <c r="X2636" s="1"/>
      <c r="Y2636" s="1"/>
      <c r="Z2636" s="1"/>
    </row>
    <row r="2637" customFormat="false" ht="21.75" hidden="false" customHeight="true" outlineLevel="0" collapsed="false">
      <c r="A2637" s="4" t="n">
        <v>43500</v>
      </c>
      <c r="B2637" s="53" t="s">
        <v>14</v>
      </c>
      <c r="C2637" s="46" t="s">
        <v>15</v>
      </c>
      <c r="D2637" s="55" t="s">
        <v>16</v>
      </c>
      <c r="E2637" s="55" t="s">
        <v>17</v>
      </c>
      <c r="F2637" s="46" t="s">
        <v>6134</v>
      </c>
      <c r="G2637" s="46" t="n">
        <f aca="false">+5930958894734</f>
        <v>5930958894734</v>
      </c>
      <c r="H2637" s="46" t="s">
        <v>6135</v>
      </c>
      <c r="I2637" s="46"/>
      <c r="J2637" s="1"/>
      <c r="K2637" s="1" t="s">
        <v>3372</v>
      </c>
      <c r="L2637" s="1"/>
      <c r="M2637" s="1"/>
      <c r="N2637" s="1"/>
      <c r="O2637" s="1"/>
      <c r="P2637" s="6"/>
      <c r="Q2637" s="1"/>
      <c r="R2637" s="1"/>
      <c r="S2637" s="1"/>
      <c r="T2637" s="1"/>
      <c r="U2637" s="1"/>
      <c r="V2637" s="1"/>
      <c r="W2637" s="1"/>
      <c r="X2637" s="1"/>
      <c r="Y2637" s="1"/>
      <c r="Z2637" s="1"/>
    </row>
    <row r="2638" customFormat="false" ht="21.75" hidden="false" customHeight="true" outlineLevel="0" collapsed="false">
      <c r="A2638" s="4" t="n">
        <v>43500</v>
      </c>
      <c r="B2638" s="53" t="s">
        <v>286</v>
      </c>
      <c r="C2638" s="46" t="s">
        <v>15</v>
      </c>
      <c r="D2638" s="55" t="s">
        <v>16</v>
      </c>
      <c r="E2638" s="55" t="s">
        <v>17</v>
      </c>
      <c r="F2638" s="46" t="s">
        <v>6136</v>
      </c>
      <c r="G2638" s="46" t="n">
        <f aca="false">+593980112583</f>
        <v>593980112583</v>
      </c>
      <c r="H2638" s="46" t="s">
        <v>6137</v>
      </c>
      <c r="I2638" s="46"/>
      <c r="J2638" s="1"/>
      <c r="K2638" s="1" t="s">
        <v>3623</v>
      </c>
      <c r="L2638" s="1"/>
      <c r="M2638" s="1"/>
      <c r="N2638" s="1"/>
      <c r="O2638" s="1"/>
      <c r="P2638" s="6"/>
      <c r="Q2638" s="1"/>
      <c r="R2638" s="1"/>
      <c r="S2638" s="1"/>
      <c r="T2638" s="1"/>
      <c r="U2638" s="1"/>
      <c r="V2638" s="1"/>
      <c r="W2638" s="1"/>
      <c r="X2638" s="1"/>
      <c r="Y2638" s="1"/>
      <c r="Z2638" s="1"/>
    </row>
    <row r="2639" customFormat="false" ht="21.75" hidden="false" customHeight="true" outlineLevel="0" collapsed="false">
      <c r="A2639" s="4" t="n">
        <v>43500</v>
      </c>
      <c r="B2639" s="53" t="s">
        <v>286</v>
      </c>
      <c r="C2639" s="46" t="s">
        <v>15</v>
      </c>
      <c r="D2639" s="55" t="s">
        <v>16</v>
      </c>
      <c r="E2639" s="55" t="s">
        <v>17</v>
      </c>
      <c r="F2639" s="46" t="s">
        <v>6138</v>
      </c>
      <c r="G2639" s="46" t="n">
        <f aca="false">+593998210382</f>
        <v>593998210382</v>
      </c>
      <c r="H2639" s="46" t="s">
        <v>6139</v>
      </c>
      <c r="I2639" s="46"/>
      <c r="J2639" s="1"/>
      <c r="K2639" s="1" t="s">
        <v>3623</v>
      </c>
      <c r="L2639" s="1"/>
      <c r="M2639" s="1"/>
      <c r="N2639" s="1"/>
      <c r="O2639" s="1"/>
      <c r="P2639" s="6"/>
      <c r="Q2639" s="1"/>
      <c r="R2639" s="1"/>
      <c r="S2639" s="1"/>
      <c r="T2639" s="1"/>
      <c r="U2639" s="1"/>
      <c r="V2639" s="1"/>
      <c r="W2639" s="1"/>
      <c r="X2639" s="1"/>
      <c r="Y2639" s="1"/>
      <c r="Z2639" s="1"/>
    </row>
    <row r="2640" customFormat="false" ht="21.75" hidden="false" customHeight="true" outlineLevel="0" collapsed="false">
      <c r="A2640" s="4" t="n">
        <v>43500</v>
      </c>
      <c r="B2640" s="52" t="s">
        <v>48</v>
      </c>
      <c r="C2640" s="55" t="s">
        <v>15</v>
      </c>
      <c r="D2640" s="55" t="s">
        <v>43</v>
      </c>
      <c r="E2640" s="55" t="s">
        <v>109</v>
      </c>
      <c r="F2640" s="50" t="s">
        <v>6140</v>
      </c>
      <c r="G2640" s="51" t="n">
        <v>969707367</v>
      </c>
      <c r="H2640" s="52" t="s">
        <v>6141</v>
      </c>
      <c r="I2640" s="52"/>
      <c r="J2640" s="1"/>
      <c r="K2640" s="1" t="s">
        <v>165</v>
      </c>
      <c r="L2640" s="1"/>
      <c r="M2640" s="1"/>
      <c r="N2640" s="1"/>
      <c r="O2640" s="1"/>
      <c r="P2640" s="6"/>
      <c r="Q2640" s="1"/>
      <c r="R2640" s="1"/>
      <c r="S2640" s="1"/>
      <c r="T2640" s="1"/>
      <c r="U2640" s="1"/>
      <c r="V2640" s="1"/>
      <c r="W2640" s="1"/>
      <c r="X2640" s="1"/>
      <c r="Y2640" s="1"/>
      <c r="Z2640" s="1"/>
    </row>
    <row r="2641" customFormat="false" ht="21.75" hidden="false" customHeight="true" outlineLevel="0" collapsed="false">
      <c r="A2641" s="4" t="n">
        <v>43500</v>
      </c>
      <c r="B2641" s="52" t="s">
        <v>1106</v>
      </c>
      <c r="C2641" s="55" t="s">
        <v>15</v>
      </c>
      <c r="D2641" s="55" t="s">
        <v>43</v>
      </c>
      <c r="E2641" s="55" t="s">
        <v>109</v>
      </c>
      <c r="F2641" s="50" t="s">
        <v>6142</v>
      </c>
      <c r="G2641" s="51" t="n">
        <v>996916075</v>
      </c>
      <c r="H2641" s="52" t="s">
        <v>6143</v>
      </c>
      <c r="I2641" s="52"/>
      <c r="J2641" s="1"/>
      <c r="K2641" s="1" t="s">
        <v>21</v>
      </c>
      <c r="L2641" s="1"/>
      <c r="M2641" s="1"/>
      <c r="N2641" s="1"/>
      <c r="O2641" s="1"/>
      <c r="P2641" s="6"/>
      <c r="Q2641" s="1"/>
      <c r="R2641" s="1"/>
      <c r="S2641" s="1"/>
      <c r="T2641" s="1"/>
      <c r="U2641" s="1"/>
      <c r="V2641" s="1"/>
      <c r="W2641" s="1"/>
      <c r="X2641" s="1"/>
      <c r="Y2641" s="1"/>
      <c r="Z2641" s="1"/>
    </row>
    <row r="2642" customFormat="false" ht="21.75" hidden="false" customHeight="true" outlineLevel="0" collapsed="false">
      <c r="A2642" s="4" t="n">
        <v>43500</v>
      </c>
      <c r="B2642" s="52" t="s">
        <v>48</v>
      </c>
      <c r="C2642" s="55" t="s">
        <v>15</v>
      </c>
      <c r="D2642" s="55" t="s">
        <v>43</v>
      </c>
      <c r="E2642" s="55" t="s">
        <v>44</v>
      </c>
      <c r="F2642" s="50" t="s">
        <v>6144</v>
      </c>
      <c r="G2642" s="51" t="n">
        <v>985374052</v>
      </c>
      <c r="H2642" s="52" t="s">
        <v>6145</v>
      </c>
      <c r="I2642" s="52"/>
      <c r="J2642" s="1"/>
      <c r="K2642" s="1" t="s">
        <v>165</v>
      </c>
      <c r="L2642" s="1"/>
      <c r="M2642" s="1"/>
      <c r="N2642" s="1"/>
      <c r="O2642" s="1"/>
      <c r="P2642" s="6"/>
      <c r="Q2642" s="1"/>
      <c r="R2642" s="1"/>
      <c r="S2642" s="1"/>
      <c r="T2642" s="1"/>
      <c r="U2642" s="1"/>
      <c r="V2642" s="1"/>
      <c r="W2642" s="1"/>
      <c r="X2642" s="1"/>
      <c r="Y2642" s="1"/>
      <c r="Z2642" s="1"/>
    </row>
    <row r="2643" customFormat="false" ht="21.75" hidden="false" customHeight="true" outlineLevel="0" collapsed="false">
      <c r="A2643" s="4" t="n">
        <v>43500</v>
      </c>
      <c r="B2643" s="52" t="s">
        <v>178</v>
      </c>
      <c r="C2643" s="55" t="s">
        <v>15</v>
      </c>
      <c r="D2643" s="55" t="s">
        <v>43</v>
      </c>
      <c r="E2643" s="55" t="s">
        <v>109</v>
      </c>
      <c r="F2643" s="50" t="s">
        <v>5082</v>
      </c>
      <c r="G2643" s="51" t="n">
        <v>996006840</v>
      </c>
      <c r="H2643" s="52" t="s">
        <v>6146</v>
      </c>
      <c r="I2643" s="52"/>
      <c r="J2643" s="1"/>
      <c r="K2643" s="1" t="s">
        <v>21</v>
      </c>
      <c r="L2643" s="1"/>
      <c r="M2643" s="1"/>
      <c r="N2643" s="1"/>
      <c r="O2643" s="1"/>
      <c r="P2643" s="6"/>
      <c r="Q2643" s="1"/>
      <c r="R2643" s="1"/>
      <c r="S2643" s="1"/>
      <c r="T2643" s="1"/>
      <c r="U2643" s="1"/>
      <c r="V2643" s="1"/>
      <c r="W2643" s="1"/>
      <c r="X2643" s="1"/>
      <c r="Y2643" s="1"/>
      <c r="Z2643" s="1"/>
    </row>
    <row r="2644" customFormat="false" ht="21.75" hidden="false" customHeight="true" outlineLevel="0" collapsed="false">
      <c r="A2644" s="4" t="n">
        <v>43500</v>
      </c>
      <c r="B2644" s="52" t="s">
        <v>48</v>
      </c>
      <c r="C2644" s="55" t="s">
        <v>15</v>
      </c>
      <c r="D2644" s="55" t="s">
        <v>43</v>
      </c>
      <c r="E2644" s="55" t="s">
        <v>109</v>
      </c>
      <c r="F2644" s="52" t="s">
        <v>6147</v>
      </c>
      <c r="G2644" s="52"/>
      <c r="H2644" s="52" t="s">
        <v>6148</v>
      </c>
      <c r="I2644" s="52"/>
      <c r="J2644" s="1"/>
      <c r="K2644" s="1" t="s">
        <v>6149</v>
      </c>
      <c r="L2644" s="1"/>
      <c r="M2644" s="1"/>
      <c r="N2644" s="1"/>
      <c r="O2644" s="1"/>
      <c r="P2644" s="6"/>
      <c r="Q2644" s="1"/>
      <c r="R2644" s="1"/>
      <c r="S2644" s="1"/>
      <c r="T2644" s="1"/>
      <c r="U2644" s="1"/>
      <c r="V2644" s="1"/>
      <c r="W2644" s="1"/>
      <c r="X2644" s="1"/>
      <c r="Y2644" s="1"/>
      <c r="Z2644" s="1"/>
    </row>
    <row r="2645" customFormat="false" ht="21.75" hidden="false" customHeight="true" outlineLevel="0" collapsed="false">
      <c r="A2645" s="4" t="n">
        <v>43500</v>
      </c>
      <c r="B2645" s="52" t="s">
        <v>81</v>
      </c>
      <c r="C2645" s="55" t="s">
        <v>15</v>
      </c>
      <c r="D2645" s="55" t="s">
        <v>43</v>
      </c>
      <c r="E2645" s="55" t="s">
        <v>109</v>
      </c>
      <c r="F2645" s="50" t="s">
        <v>6150</v>
      </c>
      <c r="G2645" s="52"/>
      <c r="H2645" s="50" t="s">
        <v>6151</v>
      </c>
      <c r="I2645" s="50"/>
      <c r="J2645" s="1"/>
      <c r="K2645" s="1" t="s">
        <v>6152</v>
      </c>
      <c r="L2645" s="1"/>
      <c r="M2645" s="1"/>
      <c r="N2645" s="1"/>
      <c r="O2645" s="1"/>
      <c r="P2645" s="6"/>
      <c r="Q2645" s="1"/>
      <c r="R2645" s="1"/>
      <c r="S2645" s="1"/>
      <c r="T2645" s="1"/>
      <c r="U2645" s="1"/>
      <c r="V2645" s="1"/>
      <c r="W2645" s="1"/>
      <c r="X2645" s="1"/>
      <c r="Y2645" s="1"/>
      <c r="Z2645" s="1"/>
    </row>
    <row r="2646" customFormat="false" ht="21.75" hidden="false" customHeight="true" outlineLevel="0" collapsed="false">
      <c r="A2646" s="4" t="n">
        <v>43500</v>
      </c>
      <c r="B2646" s="52" t="s">
        <v>48</v>
      </c>
      <c r="C2646" s="55" t="s">
        <v>15</v>
      </c>
      <c r="D2646" s="55" t="s">
        <v>43</v>
      </c>
      <c r="E2646" s="55" t="s">
        <v>109</v>
      </c>
      <c r="F2646" s="50" t="s">
        <v>6153</v>
      </c>
      <c r="G2646" s="51" t="n">
        <v>981813885</v>
      </c>
      <c r="H2646" s="52"/>
      <c r="I2646" s="52"/>
      <c r="J2646" s="1"/>
      <c r="K2646" s="1" t="s">
        <v>21</v>
      </c>
      <c r="L2646" s="1"/>
      <c r="M2646" s="1"/>
      <c r="N2646" s="1"/>
      <c r="O2646" s="1"/>
      <c r="P2646" s="6"/>
      <c r="Q2646" s="1"/>
      <c r="R2646" s="1"/>
      <c r="S2646" s="1"/>
      <c r="T2646" s="1"/>
      <c r="U2646" s="1"/>
      <c r="V2646" s="1"/>
      <c r="W2646" s="1"/>
      <c r="X2646" s="1"/>
      <c r="Y2646" s="1"/>
      <c r="Z2646" s="1"/>
    </row>
    <row r="2647" customFormat="false" ht="21.75" hidden="false" customHeight="true" outlineLevel="0" collapsed="false">
      <c r="A2647" s="4" t="n">
        <v>43500</v>
      </c>
      <c r="B2647" s="52" t="s">
        <v>48</v>
      </c>
      <c r="C2647" s="55" t="s">
        <v>15</v>
      </c>
      <c r="D2647" s="55" t="s">
        <v>43</v>
      </c>
      <c r="E2647" s="55" t="s">
        <v>883</v>
      </c>
      <c r="F2647" s="50" t="s">
        <v>6154</v>
      </c>
      <c r="G2647" s="51" t="n">
        <v>985980410</v>
      </c>
      <c r="H2647" s="52"/>
      <c r="I2647" s="52"/>
      <c r="J2647" s="1"/>
      <c r="K2647" s="1" t="s">
        <v>21</v>
      </c>
      <c r="L2647" s="1"/>
      <c r="M2647" s="1"/>
      <c r="N2647" s="1"/>
      <c r="O2647" s="1"/>
      <c r="P2647" s="6"/>
      <c r="Q2647" s="1"/>
      <c r="R2647" s="1"/>
      <c r="S2647" s="1"/>
      <c r="T2647" s="1"/>
      <c r="U2647" s="1"/>
      <c r="V2647" s="1"/>
      <c r="W2647" s="1"/>
      <c r="X2647" s="1"/>
      <c r="Y2647" s="1"/>
      <c r="Z2647" s="1"/>
    </row>
    <row r="2648" customFormat="false" ht="21.75" hidden="false" customHeight="true" outlineLevel="0" collapsed="false">
      <c r="A2648" s="4" t="n">
        <v>43500</v>
      </c>
      <c r="B2648" s="52" t="s">
        <v>48</v>
      </c>
      <c r="C2648" s="55" t="s">
        <v>15</v>
      </c>
      <c r="D2648" s="55" t="s">
        <v>43</v>
      </c>
      <c r="E2648" s="55" t="s">
        <v>883</v>
      </c>
      <c r="F2648" s="50" t="s">
        <v>6155</v>
      </c>
      <c r="G2648" s="52"/>
      <c r="H2648" s="52" t="s">
        <v>6156</v>
      </c>
      <c r="I2648" s="52"/>
      <c r="J2648" s="1"/>
      <c r="K2648" s="1" t="s">
        <v>6157</v>
      </c>
      <c r="L2648" s="1"/>
      <c r="M2648" s="1"/>
      <c r="N2648" s="1"/>
      <c r="O2648" s="1"/>
      <c r="P2648" s="6"/>
      <c r="Q2648" s="1"/>
      <c r="R2648" s="1"/>
      <c r="S2648" s="1"/>
      <c r="T2648" s="1"/>
      <c r="U2648" s="1"/>
      <c r="V2648" s="1"/>
      <c r="W2648" s="1"/>
      <c r="X2648" s="1"/>
      <c r="Y2648" s="1"/>
      <c r="Z2648" s="1"/>
    </row>
    <row r="2649" customFormat="false" ht="21.75" hidden="false" customHeight="true" outlineLevel="0" collapsed="false">
      <c r="A2649" s="4" t="n">
        <v>43500</v>
      </c>
      <c r="B2649" s="52" t="s">
        <v>127</v>
      </c>
      <c r="C2649" s="55" t="s">
        <v>15</v>
      </c>
      <c r="D2649" s="55" t="s">
        <v>43</v>
      </c>
      <c r="E2649" s="55" t="s">
        <v>883</v>
      </c>
      <c r="F2649" s="50" t="s">
        <v>6158</v>
      </c>
      <c r="G2649" s="52"/>
      <c r="H2649" s="52" t="s">
        <v>6159</v>
      </c>
      <c r="I2649" s="52"/>
      <c r="J2649" s="1"/>
      <c r="K2649" s="1" t="s">
        <v>6157</v>
      </c>
      <c r="L2649" s="1"/>
      <c r="M2649" s="1"/>
      <c r="N2649" s="1"/>
      <c r="O2649" s="1"/>
      <c r="P2649" s="6"/>
      <c r="Q2649" s="1"/>
      <c r="R2649" s="1"/>
      <c r="S2649" s="1"/>
      <c r="T2649" s="1"/>
      <c r="U2649" s="1"/>
      <c r="V2649" s="1"/>
      <c r="W2649" s="1"/>
      <c r="X2649" s="1"/>
      <c r="Y2649" s="1"/>
      <c r="Z2649" s="1"/>
    </row>
    <row r="2650" customFormat="false" ht="21.75" hidden="false" customHeight="true" outlineLevel="0" collapsed="false">
      <c r="A2650" s="4" t="n">
        <v>43500</v>
      </c>
      <c r="B2650" s="52" t="s">
        <v>42</v>
      </c>
      <c r="C2650" s="55" t="s">
        <v>15</v>
      </c>
      <c r="D2650" s="55" t="s">
        <v>43</v>
      </c>
      <c r="E2650" s="55" t="s">
        <v>109</v>
      </c>
      <c r="F2650" s="50" t="s">
        <v>6160</v>
      </c>
      <c r="G2650" s="52"/>
      <c r="H2650" s="52" t="s">
        <v>6161</v>
      </c>
      <c r="I2650" s="52"/>
      <c r="J2650" s="1"/>
      <c r="K2650" s="1" t="s">
        <v>6157</v>
      </c>
      <c r="L2650" s="1"/>
      <c r="M2650" s="1"/>
      <c r="N2650" s="1"/>
      <c r="O2650" s="1"/>
      <c r="P2650" s="6"/>
      <c r="Q2650" s="1"/>
      <c r="R2650" s="1"/>
      <c r="S2650" s="1"/>
      <c r="T2650" s="1"/>
      <c r="U2650" s="1"/>
      <c r="V2650" s="1"/>
      <c r="W2650" s="1"/>
      <c r="X2650" s="1"/>
      <c r="Y2650" s="1"/>
      <c r="Z2650" s="1"/>
    </row>
    <row r="2651" customFormat="false" ht="21.75" hidden="false" customHeight="true" outlineLevel="0" collapsed="false">
      <c r="A2651" s="4" t="n">
        <v>43500</v>
      </c>
      <c r="B2651" s="52" t="s">
        <v>81</v>
      </c>
      <c r="C2651" s="55" t="s">
        <v>15</v>
      </c>
      <c r="D2651" s="55" t="s">
        <v>43</v>
      </c>
      <c r="E2651" s="55" t="s">
        <v>109</v>
      </c>
      <c r="F2651" s="50" t="s">
        <v>5669</v>
      </c>
      <c r="G2651" s="51" t="n">
        <v>989308667</v>
      </c>
      <c r="H2651" s="52" t="s">
        <v>6162</v>
      </c>
      <c r="I2651" s="52"/>
      <c r="J2651" s="1"/>
      <c r="K2651" s="1" t="s">
        <v>21</v>
      </c>
      <c r="L2651" s="1"/>
      <c r="M2651" s="1"/>
      <c r="N2651" s="1"/>
      <c r="O2651" s="1"/>
      <c r="P2651" s="6"/>
      <c r="Q2651" s="1"/>
      <c r="R2651" s="1"/>
      <c r="S2651" s="1"/>
      <c r="T2651" s="1"/>
      <c r="U2651" s="1"/>
      <c r="V2651" s="1"/>
      <c r="W2651" s="1"/>
      <c r="X2651" s="1"/>
      <c r="Y2651" s="1"/>
      <c r="Z2651" s="1"/>
    </row>
    <row r="2652" customFormat="false" ht="21.75" hidden="false" customHeight="true" outlineLevel="0" collapsed="false">
      <c r="A2652" s="4" t="n">
        <v>43500</v>
      </c>
      <c r="B2652" s="52" t="s">
        <v>86</v>
      </c>
      <c r="C2652" s="55" t="s">
        <v>15</v>
      </c>
      <c r="D2652" s="55" t="s">
        <v>16</v>
      </c>
      <c r="E2652" s="55" t="s">
        <v>17</v>
      </c>
      <c r="F2652" s="50" t="s">
        <v>6163</v>
      </c>
      <c r="G2652" s="52"/>
      <c r="H2652" s="52" t="s">
        <v>6164</v>
      </c>
      <c r="I2652" s="52"/>
      <c r="J2652" s="1"/>
      <c r="K2652" s="1" t="s">
        <v>3390</v>
      </c>
      <c r="L2652" s="1"/>
      <c r="M2652" s="1"/>
      <c r="N2652" s="1"/>
      <c r="O2652" s="1"/>
      <c r="P2652" s="6"/>
      <c r="Q2652" s="1"/>
      <c r="R2652" s="1"/>
      <c r="S2652" s="1"/>
      <c r="T2652" s="1"/>
      <c r="U2652" s="1"/>
      <c r="V2652" s="1"/>
      <c r="W2652" s="1"/>
      <c r="X2652" s="1"/>
      <c r="Y2652" s="1"/>
      <c r="Z2652" s="1"/>
    </row>
    <row r="2653" customFormat="false" ht="21.75" hidden="false" customHeight="true" outlineLevel="0" collapsed="false">
      <c r="A2653" s="4" t="n">
        <v>43500</v>
      </c>
      <c r="B2653" s="52" t="s">
        <v>1831</v>
      </c>
      <c r="C2653" s="55" t="s">
        <v>15</v>
      </c>
      <c r="D2653" s="55" t="s">
        <v>43</v>
      </c>
      <c r="E2653" s="55" t="s">
        <v>109</v>
      </c>
      <c r="F2653" s="50" t="s">
        <v>5757</v>
      </c>
      <c r="G2653" s="51" t="n">
        <v>961152344</v>
      </c>
      <c r="H2653" s="52" t="s">
        <v>5758</v>
      </c>
      <c r="I2653" s="52"/>
      <c r="J2653" s="1"/>
      <c r="K2653" s="1" t="s">
        <v>21</v>
      </c>
      <c r="L2653" s="1"/>
      <c r="M2653" s="1"/>
      <c r="N2653" s="1"/>
      <c r="O2653" s="1"/>
      <c r="P2653" s="6"/>
      <c r="Q2653" s="1"/>
      <c r="R2653" s="1"/>
      <c r="S2653" s="1"/>
      <c r="T2653" s="1"/>
      <c r="U2653" s="1"/>
      <c r="V2653" s="1"/>
      <c r="W2653" s="1"/>
      <c r="X2653" s="1"/>
      <c r="Y2653" s="1"/>
      <c r="Z2653" s="1"/>
    </row>
    <row r="2654" customFormat="false" ht="21.75" hidden="false" customHeight="true" outlineLevel="0" collapsed="false">
      <c r="A2654" s="4" t="n">
        <v>43500</v>
      </c>
      <c r="B2654" s="52" t="s">
        <v>286</v>
      </c>
      <c r="C2654" s="55" t="s">
        <v>15</v>
      </c>
      <c r="D2654" s="55" t="s">
        <v>16</v>
      </c>
      <c r="E2654" s="55" t="s">
        <v>17</v>
      </c>
      <c r="F2654" s="50" t="s">
        <v>6165</v>
      </c>
      <c r="G2654" s="51" t="n">
        <v>967684255</v>
      </c>
      <c r="H2654" s="52" t="s">
        <v>6166</v>
      </c>
      <c r="I2654" s="52"/>
      <c r="J2654" s="1"/>
      <c r="K2654" s="1" t="s">
        <v>6167</v>
      </c>
      <c r="L2654" s="1"/>
      <c r="M2654" s="1"/>
      <c r="N2654" s="1"/>
      <c r="O2654" s="1"/>
      <c r="P2654" s="6"/>
      <c r="Q2654" s="1"/>
      <c r="R2654" s="1"/>
      <c r="S2654" s="1"/>
      <c r="T2654" s="1"/>
      <c r="U2654" s="1"/>
      <c r="V2654" s="1"/>
      <c r="W2654" s="1"/>
      <c r="X2654" s="1"/>
      <c r="Y2654" s="1"/>
      <c r="Z2654" s="1"/>
    </row>
    <row r="2655" customFormat="false" ht="21.75" hidden="false" customHeight="true" outlineLevel="0" collapsed="false">
      <c r="A2655" s="4" t="n">
        <v>43500</v>
      </c>
      <c r="B2655" s="52" t="s">
        <v>48</v>
      </c>
      <c r="C2655" s="55" t="s">
        <v>15</v>
      </c>
      <c r="D2655" s="55" t="s">
        <v>43</v>
      </c>
      <c r="E2655" s="55" t="s">
        <v>109</v>
      </c>
      <c r="F2655" s="50" t="s">
        <v>6051</v>
      </c>
      <c r="G2655" s="51" t="n">
        <v>985110889</v>
      </c>
      <c r="H2655" s="52"/>
      <c r="I2655" s="52"/>
      <c r="J2655" s="1"/>
      <c r="K2655" s="1" t="s">
        <v>428</v>
      </c>
      <c r="L2655" s="1"/>
      <c r="M2655" s="1"/>
      <c r="N2655" s="1"/>
      <c r="O2655" s="1"/>
      <c r="P2655" s="6"/>
      <c r="Q2655" s="1"/>
      <c r="R2655" s="1"/>
      <c r="S2655" s="1"/>
      <c r="T2655" s="1"/>
      <c r="U2655" s="1"/>
      <c r="V2655" s="1"/>
      <c r="W2655" s="1"/>
      <c r="X2655" s="1"/>
      <c r="Y2655" s="1"/>
      <c r="Z2655" s="1"/>
    </row>
    <row r="2656" customFormat="false" ht="21.75" hidden="false" customHeight="true" outlineLevel="0" collapsed="false">
      <c r="A2656" s="4" t="n">
        <v>43500</v>
      </c>
      <c r="B2656" s="52" t="s">
        <v>48</v>
      </c>
      <c r="C2656" s="55" t="s">
        <v>15</v>
      </c>
      <c r="D2656" s="55" t="s">
        <v>43</v>
      </c>
      <c r="E2656" s="55" t="s">
        <v>109</v>
      </c>
      <c r="F2656" s="50" t="s">
        <v>2572</v>
      </c>
      <c r="G2656" s="51" t="n">
        <v>982210470</v>
      </c>
      <c r="H2656" s="52"/>
      <c r="I2656" s="52"/>
      <c r="J2656" s="1"/>
      <c r="K2656" s="1" t="s">
        <v>428</v>
      </c>
      <c r="L2656" s="1"/>
      <c r="M2656" s="1"/>
      <c r="N2656" s="1"/>
      <c r="O2656" s="1"/>
      <c r="P2656" s="6"/>
      <c r="Q2656" s="1"/>
      <c r="R2656" s="1"/>
      <c r="S2656" s="1"/>
      <c r="T2656" s="1"/>
      <c r="U2656" s="1"/>
      <c r="V2656" s="1"/>
      <c r="W2656" s="1"/>
      <c r="X2656" s="1"/>
      <c r="Y2656" s="1"/>
      <c r="Z2656" s="1"/>
    </row>
    <row r="2657" customFormat="false" ht="21.75" hidden="false" customHeight="true" outlineLevel="0" collapsed="false">
      <c r="A2657" s="4" t="n">
        <v>43500</v>
      </c>
      <c r="B2657" s="52" t="s">
        <v>48</v>
      </c>
      <c r="C2657" s="55" t="s">
        <v>15</v>
      </c>
      <c r="D2657" s="55" t="s">
        <v>43</v>
      </c>
      <c r="E2657" s="55" t="s">
        <v>109</v>
      </c>
      <c r="F2657" s="50" t="s">
        <v>6168</v>
      </c>
      <c r="G2657" s="51" t="n">
        <v>983504461</v>
      </c>
      <c r="H2657" s="52" t="s">
        <v>6169</v>
      </c>
      <c r="I2657" s="52"/>
      <c r="J2657" s="1"/>
      <c r="K2657" s="1" t="s">
        <v>21</v>
      </c>
      <c r="L2657" s="1"/>
      <c r="M2657" s="1"/>
      <c r="N2657" s="1"/>
      <c r="O2657" s="1"/>
      <c r="P2657" s="6"/>
      <c r="Q2657" s="1"/>
      <c r="R2657" s="1"/>
      <c r="S2657" s="1"/>
      <c r="T2657" s="1"/>
      <c r="U2657" s="1"/>
      <c r="V2657" s="1"/>
      <c r="W2657" s="1"/>
      <c r="X2657" s="1"/>
      <c r="Y2657" s="1"/>
      <c r="Z2657" s="1"/>
    </row>
    <row r="2658" customFormat="false" ht="21.75" hidden="false" customHeight="true" outlineLevel="0" collapsed="false">
      <c r="A2658" s="4" t="n">
        <v>43500</v>
      </c>
      <c r="B2658" s="52" t="s">
        <v>48</v>
      </c>
      <c r="C2658" s="55" t="s">
        <v>15</v>
      </c>
      <c r="D2658" s="55" t="s">
        <v>43</v>
      </c>
      <c r="E2658" s="55" t="s">
        <v>109</v>
      </c>
      <c r="F2658" s="50" t="s">
        <v>6170</v>
      </c>
      <c r="G2658" s="51" t="n">
        <v>986257585</v>
      </c>
      <c r="H2658" s="52" t="s">
        <v>6171</v>
      </c>
      <c r="I2658" s="52"/>
      <c r="J2658" s="1"/>
      <c r="K2658" s="1" t="s">
        <v>4838</v>
      </c>
      <c r="L2658" s="1"/>
      <c r="M2658" s="1"/>
      <c r="N2658" s="1"/>
      <c r="O2658" s="1"/>
      <c r="P2658" s="6"/>
      <c r="Q2658" s="1"/>
      <c r="R2658" s="1"/>
      <c r="S2658" s="1"/>
      <c r="T2658" s="1"/>
      <c r="U2658" s="1"/>
      <c r="V2658" s="1"/>
      <c r="W2658" s="1"/>
      <c r="X2658" s="1"/>
      <c r="Y2658" s="1"/>
      <c r="Z2658" s="1"/>
    </row>
    <row r="2659" customFormat="false" ht="21.75" hidden="false" customHeight="true" outlineLevel="0" collapsed="false">
      <c r="A2659" s="4" t="n">
        <v>43500</v>
      </c>
      <c r="B2659" s="52" t="s">
        <v>48</v>
      </c>
      <c r="C2659" s="55" t="s">
        <v>15</v>
      </c>
      <c r="D2659" s="55" t="s">
        <v>43</v>
      </c>
      <c r="E2659" s="55" t="s">
        <v>44</v>
      </c>
      <c r="F2659" s="50" t="s">
        <v>2423</v>
      </c>
      <c r="G2659" s="51" t="n">
        <v>979308961</v>
      </c>
      <c r="H2659" s="52" t="s">
        <v>2424</v>
      </c>
      <c r="I2659" s="52"/>
      <c r="J2659" s="1"/>
      <c r="K2659" s="1" t="s">
        <v>6172</v>
      </c>
      <c r="L2659" s="1"/>
      <c r="M2659" s="1"/>
      <c r="N2659" s="1"/>
      <c r="O2659" s="1"/>
      <c r="P2659" s="6"/>
      <c r="Q2659" s="1"/>
      <c r="R2659" s="1"/>
      <c r="S2659" s="1"/>
      <c r="T2659" s="1"/>
      <c r="U2659" s="1"/>
      <c r="V2659" s="1"/>
      <c r="W2659" s="1"/>
      <c r="X2659" s="1"/>
      <c r="Y2659" s="1"/>
      <c r="Z2659" s="1"/>
    </row>
    <row r="2660" customFormat="false" ht="21.75" hidden="false" customHeight="true" outlineLevel="0" collapsed="false">
      <c r="A2660" s="4" t="n">
        <v>43500</v>
      </c>
      <c r="B2660" s="52" t="s">
        <v>48</v>
      </c>
      <c r="C2660" s="55" t="s">
        <v>15</v>
      </c>
      <c r="D2660" s="55" t="s">
        <v>43</v>
      </c>
      <c r="E2660" s="55" t="s">
        <v>883</v>
      </c>
      <c r="F2660" s="50" t="s">
        <v>6173</v>
      </c>
      <c r="G2660" s="51" t="n">
        <v>984857594</v>
      </c>
      <c r="H2660" s="71" t="s">
        <v>6174</v>
      </c>
      <c r="I2660" s="71"/>
      <c r="J2660" s="1"/>
      <c r="K2660" s="1" t="s">
        <v>21</v>
      </c>
      <c r="L2660" s="1"/>
      <c r="M2660" s="1"/>
      <c r="N2660" s="1"/>
      <c r="O2660" s="1"/>
      <c r="P2660" s="6"/>
      <c r="Q2660" s="1"/>
      <c r="R2660" s="1"/>
      <c r="S2660" s="1"/>
      <c r="T2660" s="1"/>
      <c r="U2660" s="1"/>
      <c r="V2660" s="1"/>
      <c r="W2660" s="1"/>
      <c r="X2660" s="1"/>
      <c r="Y2660" s="1"/>
      <c r="Z2660" s="1"/>
    </row>
    <row r="2661" customFormat="false" ht="21.75" hidden="false" customHeight="true" outlineLevel="0" collapsed="false">
      <c r="A2661" s="4" t="n">
        <v>43500</v>
      </c>
      <c r="B2661" s="52" t="s">
        <v>48</v>
      </c>
      <c r="C2661" s="55" t="s">
        <v>15</v>
      </c>
      <c r="D2661" s="55" t="s">
        <v>43</v>
      </c>
      <c r="E2661" s="55" t="s">
        <v>109</v>
      </c>
      <c r="F2661" s="50" t="s">
        <v>6175</v>
      </c>
      <c r="G2661" s="51" t="n">
        <v>968848499</v>
      </c>
      <c r="H2661" s="52" t="s">
        <v>6176</v>
      </c>
      <c r="I2661" s="52"/>
      <c r="J2661" s="1"/>
      <c r="K2661" s="1" t="s">
        <v>6177</v>
      </c>
      <c r="L2661" s="1"/>
      <c r="M2661" s="1"/>
      <c r="N2661" s="1"/>
      <c r="O2661" s="1"/>
      <c r="P2661" s="6"/>
      <c r="Q2661" s="1"/>
      <c r="R2661" s="1"/>
      <c r="S2661" s="1"/>
      <c r="T2661" s="1"/>
      <c r="U2661" s="1"/>
      <c r="V2661" s="1"/>
      <c r="W2661" s="1"/>
      <c r="X2661" s="1"/>
      <c r="Y2661" s="1"/>
      <c r="Z2661" s="1"/>
    </row>
    <row r="2662" customFormat="false" ht="21.75" hidden="false" customHeight="true" outlineLevel="0" collapsed="false">
      <c r="A2662" s="4" t="n">
        <v>43500</v>
      </c>
      <c r="B2662" s="52" t="s">
        <v>415</v>
      </c>
      <c r="C2662" s="55" t="s">
        <v>15</v>
      </c>
      <c r="D2662" s="55" t="s">
        <v>43</v>
      </c>
      <c r="E2662" s="55" t="s">
        <v>44</v>
      </c>
      <c r="F2662" s="50" t="s">
        <v>6178</v>
      </c>
      <c r="G2662" s="51" t="n">
        <v>999858135</v>
      </c>
      <c r="H2662" s="52" t="s">
        <v>6179</v>
      </c>
      <c r="I2662" s="52"/>
      <c r="J2662" s="1"/>
      <c r="K2662" s="1" t="s">
        <v>6180</v>
      </c>
      <c r="L2662" s="1"/>
      <c r="M2662" s="1"/>
      <c r="N2662" s="1"/>
      <c r="O2662" s="1"/>
      <c r="P2662" s="6"/>
      <c r="Q2662" s="1"/>
      <c r="R2662" s="1"/>
      <c r="S2662" s="1"/>
      <c r="T2662" s="1"/>
      <c r="U2662" s="1"/>
      <c r="V2662" s="1"/>
      <c r="W2662" s="1"/>
      <c r="X2662" s="1"/>
      <c r="Y2662" s="1"/>
      <c r="Z2662" s="1"/>
    </row>
    <row r="2663" customFormat="false" ht="21.75" hidden="false" customHeight="true" outlineLevel="0" collapsed="false">
      <c r="A2663" s="4" t="n">
        <v>43500</v>
      </c>
      <c r="B2663" s="52" t="s">
        <v>48</v>
      </c>
      <c r="C2663" s="55" t="s">
        <v>15</v>
      </c>
      <c r="D2663" s="55" t="s">
        <v>43</v>
      </c>
      <c r="E2663" s="55" t="s">
        <v>883</v>
      </c>
      <c r="F2663" s="50" t="s">
        <v>6181</v>
      </c>
      <c r="G2663" s="51" t="n">
        <v>985644285</v>
      </c>
      <c r="H2663" s="52" t="s">
        <v>6182</v>
      </c>
      <c r="I2663" s="52"/>
      <c r="J2663" s="1"/>
      <c r="K2663" s="1" t="s">
        <v>21</v>
      </c>
      <c r="L2663" s="1"/>
      <c r="M2663" s="1"/>
      <c r="N2663" s="1"/>
      <c r="O2663" s="1"/>
      <c r="P2663" s="6"/>
      <c r="Q2663" s="1"/>
      <c r="R2663" s="1"/>
      <c r="S2663" s="1"/>
      <c r="T2663" s="1"/>
      <c r="U2663" s="1"/>
      <c r="V2663" s="1"/>
      <c r="W2663" s="1"/>
      <c r="X2663" s="1"/>
      <c r="Y2663" s="1"/>
      <c r="Z2663" s="1"/>
    </row>
    <row r="2664" customFormat="false" ht="21.75" hidden="false" customHeight="true" outlineLevel="0" collapsed="false">
      <c r="A2664" s="4" t="n">
        <v>43500</v>
      </c>
      <c r="B2664" s="52" t="s">
        <v>14</v>
      </c>
      <c r="C2664" s="55" t="s">
        <v>15</v>
      </c>
      <c r="D2664" s="55" t="s">
        <v>16</v>
      </c>
      <c r="E2664" s="55" t="s">
        <v>17</v>
      </c>
      <c r="F2664" s="50" t="s">
        <v>6183</v>
      </c>
      <c r="G2664" s="51" t="n">
        <v>967422783</v>
      </c>
      <c r="H2664" s="52" t="s">
        <v>6184</v>
      </c>
      <c r="I2664" s="52"/>
      <c r="J2664" s="1"/>
      <c r="K2664" s="1" t="s">
        <v>3372</v>
      </c>
      <c r="L2664" s="1"/>
      <c r="M2664" s="1"/>
      <c r="N2664" s="1"/>
      <c r="O2664" s="1"/>
      <c r="P2664" s="6"/>
      <c r="Q2664" s="1"/>
      <c r="R2664" s="1"/>
      <c r="S2664" s="1"/>
      <c r="T2664" s="1"/>
      <c r="U2664" s="1"/>
      <c r="V2664" s="1"/>
      <c r="W2664" s="1"/>
      <c r="X2664" s="1"/>
      <c r="Y2664" s="1"/>
      <c r="Z2664" s="1"/>
    </row>
    <row r="2665" customFormat="false" ht="21.75" hidden="false" customHeight="true" outlineLevel="0" collapsed="false">
      <c r="A2665" s="4" t="n">
        <v>43500</v>
      </c>
      <c r="B2665" s="52" t="s">
        <v>352</v>
      </c>
      <c r="C2665" s="55" t="s">
        <v>15</v>
      </c>
      <c r="D2665" s="55" t="s">
        <v>43</v>
      </c>
      <c r="E2665" s="55" t="s">
        <v>109</v>
      </c>
      <c r="F2665" s="50" t="s">
        <v>6185</v>
      </c>
      <c r="G2665" s="51" t="n">
        <v>983868825</v>
      </c>
      <c r="H2665" s="52" t="s">
        <v>6186</v>
      </c>
      <c r="I2665" s="52"/>
      <c r="J2665" s="1"/>
      <c r="K2665" s="1" t="s">
        <v>21</v>
      </c>
      <c r="L2665" s="1"/>
      <c r="M2665" s="1"/>
      <c r="N2665" s="1"/>
      <c r="O2665" s="1"/>
      <c r="P2665" s="6"/>
      <c r="Q2665" s="1"/>
      <c r="R2665" s="1"/>
      <c r="S2665" s="1"/>
      <c r="T2665" s="1"/>
      <c r="U2665" s="1"/>
      <c r="V2665" s="1"/>
      <c r="W2665" s="1"/>
      <c r="X2665" s="1"/>
      <c r="Y2665" s="1"/>
      <c r="Z2665" s="1"/>
    </row>
    <row r="2666" customFormat="false" ht="21.75" hidden="false" customHeight="true" outlineLevel="0" collapsed="false">
      <c r="A2666" s="4" t="n">
        <v>43500</v>
      </c>
      <c r="B2666" s="52" t="s">
        <v>48</v>
      </c>
      <c r="C2666" s="55" t="s">
        <v>15</v>
      </c>
      <c r="D2666" s="55" t="s">
        <v>43</v>
      </c>
      <c r="E2666" s="55" t="s">
        <v>109</v>
      </c>
      <c r="F2666" s="50" t="s">
        <v>6187</v>
      </c>
      <c r="G2666" s="50"/>
      <c r="H2666" s="52" t="s">
        <v>6188</v>
      </c>
      <c r="I2666" s="52"/>
      <c r="J2666" s="1"/>
      <c r="K2666" s="1" t="s">
        <v>6189</v>
      </c>
      <c r="L2666" s="1"/>
      <c r="M2666" s="1"/>
      <c r="N2666" s="1"/>
      <c r="O2666" s="1"/>
      <c r="P2666" s="6"/>
      <c r="Q2666" s="1"/>
      <c r="R2666" s="1"/>
      <c r="S2666" s="1"/>
      <c r="T2666" s="1"/>
      <c r="U2666" s="1"/>
      <c r="V2666" s="1"/>
      <c r="W2666" s="1"/>
      <c r="X2666" s="1"/>
      <c r="Y2666" s="1"/>
      <c r="Z2666" s="1"/>
    </row>
    <row r="2667" customFormat="false" ht="21.75" hidden="false" customHeight="true" outlineLevel="0" collapsed="false">
      <c r="A2667" s="4" t="n">
        <v>43500</v>
      </c>
      <c r="B2667" s="52" t="s">
        <v>14</v>
      </c>
      <c r="C2667" s="55" t="s">
        <v>15</v>
      </c>
      <c r="D2667" s="55" t="s">
        <v>16</v>
      </c>
      <c r="E2667" s="55" t="s">
        <v>17</v>
      </c>
      <c r="F2667" s="50" t="s">
        <v>6190</v>
      </c>
      <c r="G2667" s="51" t="n">
        <v>967476671</v>
      </c>
      <c r="H2667" s="52" t="s">
        <v>6191</v>
      </c>
      <c r="I2667" s="52"/>
      <c r="J2667" s="1"/>
      <c r="K2667" s="1" t="s">
        <v>6192</v>
      </c>
      <c r="L2667" s="1"/>
      <c r="M2667" s="1"/>
      <c r="N2667" s="1"/>
      <c r="O2667" s="1"/>
      <c r="P2667" s="6"/>
      <c r="Q2667" s="1"/>
      <c r="R2667" s="1"/>
      <c r="S2667" s="1"/>
      <c r="T2667" s="1"/>
      <c r="U2667" s="1"/>
      <c r="V2667" s="1"/>
      <c r="W2667" s="1"/>
      <c r="X2667" s="1"/>
      <c r="Y2667" s="1"/>
      <c r="Z2667" s="1"/>
    </row>
    <row r="2668" customFormat="false" ht="21.75" hidden="false" customHeight="true" outlineLevel="0" collapsed="false">
      <c r="A2668" s="4" t="n">
        <v>43500</v>
      </c>
      <c r="B2668" s="52" t="s">
        <v>48</v>
      </c>
      <c r="C2668" s="55" t="s">
        <v>15</v>
      </c>
      <c r="D2668" s="55" t="s">
        <v>43</v>
      </c>
      <c r="E2668" s="55" t="s">
        <v>883</v>
      </c>
      <c r="F2668" s="50" t="s">
        <v>6193</v>
      </c>
      <c r="G2668" s="51" t="n">
        <v>969094299</v>
      </c>
      <c r="H2668" s="52" t="s">
        <v>6194</v>
      </c>
      <c r="I2668" s="52"/>
      <c r="J2668" s="1"/>
      <c r="K2668" s="1" t="s">
        <v>21</v>
      </c>
      <c r="L2668" s="1"/>
      <c r="M2668" s="1"/>
      <c r="N2668" s="1"/>
      <c r="O2668" s="1"/>
      <c r="P2668" s="6"/>
      <c r="Q2668" s="1"/>
      <c r="R2668" s="1"/>
      <c r="S2668" s="1"/>
      <c r="T2668" s="1"/>
      <c r="U2668" s="1"/>
      <c r="V2668" s="1"/>
      <c r="W2668" s="1"/>
      <c r="X2668" s="1"/>
      <c r="Y2668" s="1"/>
      <c r="Z2668" s="1"/>
    </row>
    <row r="2669" customFormat="false" ht="21.75" hidden="false" customHeight="true" outlineLevel="0" collapsed="false">
      <c r="A2669" s="4" t="n">
        <v>43500</v>
      </c>
      <c r="B2669" s="52" t="s">
        <v>48</v>
      </c>
      <c r="C2669" s="55" t="s">
        <v>15</v>
      </c>
      <c r="D2669" s="55" t="s">
        <v>43</v>
      </c>
      <c r="E2669" s="55" t="s">
        <v>44</v>
      </c>
      <c r="F2669" s="50" t="s">
        <v>6195</v>
      </c>
      <c r="G2669" s="51" t="n">
        <v>982895255</v>
      </c>
      <c r="H2669" s="52" t="s">
        <v>6196</v>
      </c>
      <c r="I2669" s="52"/>
      <c r="J2669" s="1"/>
      <c r="K2669" s="1" t="s">
        <v>6197</v>
      </c>
      <c r="L2669" s="1"/>
      <c r="M2669" s="1"/>
      <c r="N2669" s="1"/>
      <c r="O2669" s="1"/>
      <c r="P2669" s="6"/>
      <c r="Q2669" s="1"/>
      <c r="R2669" s="1"/>
      <c r="S2669" s="1"/>
      <c r="T2669" s="1"/>
      <c r="U2669" s="1"/>
      <c r="V2669" s="1"/>
      <c r="W2669" s="1"/>
      <c r="X2669" s="1"/>
      <c r="Y2669" s="1"/>
      <c r="Z2669" s="1"/>
    </row>
    <row r="2670" customFormat="false" ht="21.75" hidden="false" customHeight="true" outlineLevel="0" collapsed="false">
      <c r="A2670" s="4" t="n">
        <v>43500</v>
      </c>
      <c r="B2670" s="53" t="s">
        <v>42</v>
      </c>
      <c r="C2670" s="55" t="s">
        <v>15</v>
      </c>
      <c r="D2670" s="55" t="s">
        <v>43</v>
      </c>
      <c r="E2670" s="55" t="s">
        <v>109</v>
      </c>
      <c r="F2670" s="50" t="s">
        <v>6198</v>
      </c>
      <c r="G2670" s="51" t="n">
        <v>960735786</v>
      </c>
      <c r="H2670" s="52" t="s">
        <v>6199</v>
      </c>
      <c r="I2670" s="52"/>
      <c r="J2670" s="1"/>
      <c r="K2670" s="1" t="s">
        <v>21</v>
      </c>
      <c r="L2670" s="1"/>
      <c r="M2670" s="1"/>
      <c r="N2670" s="1"/>
      <c r="O2670" s="1"/>
      <c r="P2670" s="6"/>
      <c r="Q2670" s="1"/>
      <c r="R2670" s="1"/>
      <c r="S2670" s="1"/>
      <c r="T2670" s="1"/>
      <c r="U2670" s="1"/>
      <c r="V2670" s="1"/>
      <c r="W2670" s="1"/>
      <c r="X2670" s="1"/>
      <c r="Y2670" s="1"/>
      <c r="Z2670" s="1"/>
    </row>
    <row r="2671" customFormat="false" ht="21.75" hidden="false" customHeight="true" outlineLevel="0" collapsed="false">
      <c r="A2671" s="4" t="n">
        <v>43500</v>
      </c>
      <c r="B2671" s="53" t="s">
        <v>14</v>
      </c>
      <c r="C2671" s="55" t="s">
        <v>15</v>
      </c>
      <c r="D2671" s="55" t="s">
        <v>16</v>
      </c>
      <c r="E2671" s="55" t="s">
        <v>17</v>
      </c>
      <c r="F2671" s="70" t="s">
        <v>3020</v>
      </c>
      <c r="G2671" s="70"/>
      <c r="H2671" s="52" t="s">
        <v>3021</v>
      </c>
      <c r="I2671" s="52"/>
      <c r="J2671" s="1"/>
      <c r="K2671" s="1" t="s">
        <v>6200</v>
      </c>
      <c r="L2671" s="1"/>
      <c r="M2671" s="1"/>
      <c r="N2671" s="1"/>
      <c r="O2671" s="1"/>
      <c r="P2671" s="6"/>
      <c r="Q2671" s="1"/>
      <c r="R2671" s="1"/>
      <c r="S2671" s="1"/>
      <c r="T2671" s="1"/>
      <c r="U2671" s="1"/>
      <c r="V2671" s="1"/>
      <c r="W2671" s="1"/>
      <c r="X2671" s="1"/>
      <c r="Y2671" s="1"/>
      <c r="Z2671" s="1"/>
    </row>
    <row r="2672" customFormat="false" ht="21.75" hidden="false" customHeight="true" outlineLevel="0" collapsed="false">
      <c r="A2672" s="4" t="n">
        <v>43500</v>
      </c>
      <c r="B2672" s="53" t="s">
        <v>48</v>
      </c>
      <c r="C2672" s="55" t="s">
        <v>15</v>
      </c>
      <c r="D2672" s="55" t="s">
        <v>43</v>
      </c>
      <c r="E2672" s="55" t="s">
        <v>109</v>
      </c>
      <c r="F2672" s="50" t="s">
        <v>6201</v>
      </c>
      <c r="G2672" s="51" t="n">
        <v>989278265</v>
      </c>
      <c r="H2672" s="52"/>
      <c r="I2672" s="52"/>
      <c r="J2672" s="1"/>
      <c r="K2672" s="1" t="s">
        <v>6202</v>
      </c>
      <c r="L2672" s="1"/>
      <c r="M2672" s="1"/>
      <c r="N2672" s="1"/>
      <c r="O2672" s="1"/>
      <c r="P2672" s="6"/>
      <c r="Q2672" s="1"/>
      <c r="R2672" s="1"/>
      <c r="S2672" s="1"/>
      <c r="T2672" s="1"/>
      <c r="U2672" s="1"/>
      <c r="V2672" s="1"/>
      <c r="W2672" s="1"/>
      <c r="X2672" s="1"/>
      <c r="Y2672" s="1"/>
      <c r="Z2672" s="1"/>
    </row>
    <row r="2673" customFormat="false" ht="21.75" hidden="false" customHeight="true" outlineLevel="0" collapsed="false">
      <c r="A2673" s="4" t="n">
        <v>43500</v>
      </c>
      <c r="B2673" s="53" t="s">
        <v>1114</v>
      </c>
      <c r="C2673" s="55" t="s">
        <v>15</v>
      </c>
      <c r="D2673" s="55" t="s">
        <v>43</v>
      </c>
      <c r="E2673" s="55" t="s">
        <v>883</v>
      </c>
      <c r="F2673" s="50" t="s">
        <v>6203</v>
      </c>
      <c r="G2673" s="51" t="n">
        <v>969407014</v>
      </c>
      <c r="H2673" s="52" t="s">
        <v>6204</v>
      </c>
      <c r="I2673" s="52"/>
      <c r="J2673" s="1"/>
      <c r="K2673" s="1" t="s">
        <v>6205</v>
      </c>
      <c r="L2673" s="1"/>
      <c r="M2673" s="1"/>
      <c r="N2673" s="1"/>
      <c r="O2673" s="1"/>
      <c r="P2673" s="6"/>
      <c r="Q2673" s="1"/>
      <c r="R2673" s="1"/>
      <c r="S2673" s="1"/>
      <c r="T2673" s="1"/>
      <c r="U2673" s="1"/>
      <c r="V2673" s="1"/>
      <c r="W2673" s="1"/>
      <c r="X2673" s="1"/>
      <c r="Y2673" s="1"/>
      <c r="Z2673" s="1"/>
    </row>
    <row r="2674" customFormat="false" ht="21.75" hidden="false" customHeight="true" outlineLevel="0" collapsed="false">
      <c r="A2674" s="4" t="n">
        <v>43500</v>
      </c>
      <c r="B2674" s="53" t="s">
        <v>1478</v>
      </c>
      <c r="C2674" s="55" t="s">
        <v>15</v>
      </c>
      <c r="D2674" s="55" t="s">
        <v>43</v>
      </c>
      <c r="E2674" s="55" t="s">
        <v>109</v>
      </c>
      <c r="F2674" s="50" t="s">
        <v>6206</v>
      </c>
      <c r="G2674" s="51" t="n">
        <v>967321389</v>
      </c>
      <c r="H2674" s="52" t="s">
        <v>6207</v>
      </c>
      <c r="I2674" s="52"/>
      <c r="J2674" s="1"/>
      <c r="K2674" s="1" t="s">
        <v>21</v>
      </c>
      <c r="L2674" s="1"/>
      <c r="M2674" s="1"/>
      <c r="N2674" s="1"/>
      <c r="O2674" s="1"/>
      <c r="P2674" s="6"/>
      <c r="Q2674" s="1"/>
      <c r="R2674" s="1"/>
      <c r="S2674" s="1"/>
      <c r="T2674" s="1"/>
      <c r="U2674" s="1"/>
      <c r="V2674" s="1"/>
      <c r="W2674" s="1"/>
      <c r="X2674" s="1"/>
      <c r="Y2674" s="1"/>
      <c r="Z2674" s="1"/>
    </row>
    <row r="2675" customFormat="false" ht="21.75" hidden="false" customHeight="true" outlineLevel="0" collapsed="false">
      <c r="A2675" s="4" t="n">
        <v>43500</v>
      </c>
      <c r="B2675" s="53" t="s">
        <v>48</v>
      </c>
      <c r="C2675" s="55" t="s">
        <v>15</v>
      </c>
      <c r="D2675" s="55" t="s">
        <v>43</v>
      </c>
      <c r="E2675" s="55" t="s">
        <v>44</v>
      </c>
      <c r="F2675" s="50" t="s">
        <v>6208</v>
      </c>
      <c r="G2675" s="51" t="n">
        <v>992842346</v>
      </c>
      <c r="H2675" s="52" t="s">
        <v>6209</v>
      </c>
      <c r="I2675" s="52"/>
      <c r="J2675" s="1"/>
      <c r="K2675" s="1" t="s">
        <v>21</v>
      </c>
      <c r="L2675" s="1"/>
      <c r="M2675" s="1"/>
      <c r="N2675" s="1"/>
      <c r="O2675" s="1"/>
      <c r="P2675" s="6"/>
      <c r="Q2675" s="1"/>
      <c r="R2675" s="1"/>
      <c r="S2675" s="1"/>
      <c r="T2675" s="1"/>
      <c r="U2675" s="1"/>
      <c r="V2675" s="1"/>
      <c r="W2675" s="1"/>
      <c r="X2675" s="1"/>
      <c r="Y2675" s="1"/>
      <c r="Z2675" s="1"/>
    </row>
    <row r="2676" customFormat="false" ht="21.75" hidden="false" customHeight="true" outlineLevel="0" collapsed="false">
      <c r="A2676" s="4" t="n">
        <v>43500</v>
      </c>
      <c r="B2676" s="53" t="s">
        <v>48</v>
      </c>
      <c r="C2676" s="55" t="s">
        <v>15</v>
      </c>
      <c r="D2676" s="55" t="s">
        <v>43</v>
      </c>
      <c r="E2676" s="55" t="s">
        <v>109</v>
      </c>
      <c r="F2676" s="50" t="s">
        <v>6210</v>
      </c>
      <c r="G2676" s="51" t="n">
        <v>960767919</v>
      </c>
      <c r="H2676" s="52" t="s">
        <v>6211</v>
      </c>
      <c r="I2676" s="52"/>
      <c r="J2676" s="1"/>
      <c r="K2676" s="1" t="s">
        <v>21</v>
      </c>
      <c r="L2676" s="1"/>
      <c r="M2676" s="1"/>
      <c r="N2676" s="1"/>
      <c r="O2676" s="1"/>
      <c r="P2676" s="6"/>
      <c r="Q2676" s="1"/>
      <c r="R2676" s="1"/>
      <c r="S2676" s="1"/>
      <c r="T2676" s="1"/>
      <c r="U2676" s="1"/>
      <c r="V2676" s="1"/>
      <c r="W2676" s="1"/>
      <c r="X2676" s="1"/>
      <c r="Y2676" s="1"/>
      <c r="Z2676" s="1"/>
    </row>
    <row r="2677" customFormat="false" ht="21.75" hidden="false" customHeight="true" outlineLevel="0" collapsed="false">
      <c r="A2677" s="4" t="n">
        <v>43500</v>
      </c>
      <c r="B2677" s="53" t="s">
        <v>42</v>
      </c>
      <c r="C2677" s="55" t="s">
        <v>15</v>
      </c>
      <c r="D2677" s="55" t="s">
        <v>43</v>
      </c>
      <c r="E2677" s="55" t="s">
        <v>109</v>
      </c>
      <c r="F2677" s="52" t="s">
        <v>6212</v>
      </c>
      <c r="G2677" s="51" t="n">
        <v>996638230</v>
      </c>
      <c r="H2677" s="52" t="s">
        <v>6213</v>
      </c>
      <c r="I2677" s="52"/>
      <c r="J2677" s="1"/>
      <c r="K2677" s="1" t="s">
        <v>21</v>
      </c>
      <c r="L2677" s="1"/>
      <c r="M2677" s="1"/>
      <c r="N2677" s="1"/>
      <c r="O2677" s="1"/>
      <c r="P2677" s="6"/>
      <c r="Q2677" s="1"/>
      <c r="R2677" s="1"/>
      <c r="S2677" s="1"/>
      <c r="T2677" s="1"/>
      <c r="U2677" s="1"/>
      <c r="V2677" s="1"/>
      <c r="W2677" s="1"/>
      <c r="X2677" s="1"/>
      <c r="Y2677" s="1"/>
      <c r="Z2677" s="1"/>
    </row>
    <row r="2678" customFormat="false" ht="21.75" hidden="false" customHeight="true" outlineLevel="0" collapsed="false">
      <c r="A2678" s="4" t="n">
        <v>43500</v>
      </c>
      <c r="B2678" s="53" t="s">
        <v>1114</v>
      </c>
      <c r="C2678" s="55" t="s">
        <v>15</v>
      </c>
      <c r="D2678" s="55" t="s">
        <v>43</v>
      </c>
      <c r="E2678" s="55" t="s">
        <v>109</v>
      </c>
      <c r="F2678" s="70" t="s">
        <v>6214</v>
      </c>
      <c r="G2678" s="70"/>
      <c r="H2678" s="54" t="s">
        <v>6215</v>
      </c>
      <c r="I2678" s="54"/>
      <c r="J2678" s="1"/>
      <c r="K2678" s="1" t="s">
        <v>6216</v>
      </c>
      <c r="L2678" s="1"/>
      <c r="M2678" s="1"/>
      <c r="N2678" s="1"/>
      <c r="O2678" s="1"/>
      <c r="P2678" s="6"/>
      <c r="Q2678" s="1"/>
      <c r="R2678" s="1"/>
      <c r="S2678" s="1"/>
      <c r="T2678" s="1"/>
      <c r="U2678" s="1"/>
      <c r="V2678" s="1"/>
      <c r="W2678" s="1"/>
      <c r="X2678" s="1"/>
      <c r="Y2678" s="1"/>
      <c r="Z2678" s="1"/>
    </row>
    <row r="2679" customFormat="false" ht="21.75" hidden="false" customHeight="true" outlineLevel="0" collapsed="false">
      <c r="A2679" s="4" t="n">
        <v>43500</v>
      </c>
      <c r="B2679" s="53" t="s">
        <v>352</v>
      </c>
      <c r="C2679" s="55" t="s">
        <v>15</v>
      </c>
      <c r="D2679" s="55" t="s">
        <v>43</v>
      </c>
      <c r="E2679" s="55" t="s">
        <v>883</v>
      </c>
      <c r="F2679" s="50" t="s">
        <v>6217</v>
      </c>
      <c r="G2679" s="51" t="n">
        <v>932082118</v>
      </c>
      <c r="H2679" s="52" t="s">
        <v>5909</v>
      </c>
      <c r="I2679" s="52"/>
      <c r="J2679" s="1"/>
      <c r="K2679" s="1" t="s">
        <v>428</v>
      </c>
      <c r="L2679" s="1"/>
      <c r="M2679" s="1"/>
      <c r="N2679" s="1"/>
      <c r="O2679" s="1"/>
      <c r="P2679" s="6"/>
      <c r="Q2679" s="1"/>
      <c r="R2679" s="1"/>
      <c r="S2679" s="1"/>
      <c r="T2679" s="1"/>
      <c r="U2679" s="1"/>
      <c r="V2679" s="1"/>
      <c r="W2679" s="1"/>
      <c r="X2679" s="1"/>
      <c r="Y2679" s="1"/>
      <c r="Z2679" s="1"/>
    </row>
    <row r="2680" customFormat="false" ht="21.75" hidden="false" customHeight="true" outlineLevel="0" collapsed="false">
      <c r="A2680" s="4" t="n">
        <v>43500</v>
      </c>
      <c r="B2680" s="53" t="s">
        <v>42</v>
      </c>
      <c r="C2680" s="55" t="s">
        <v>15</v>
      </c>
      <c r="D2680" s="55" t="s">
        <v>43</v>
      </c>
      <c r="E2680" s="55" t="s">
        <v>44</v>
      </c>
      <c r="F2680" s="52" t="s">
        <v>6218</v>
      </c>
      <c r="G2680" s="52"/>
      <c r="H2680" s="50" t="s">
        <v>6219</v>
      </c>
      <c r="I2680" s="50"/>
      <c r="J2680" s="1"/>
      <c r="K2680" s="1" t="s">
        <v>6216</v>
      </c>
      <c r="L2680" s="1"/>
      <c r="M2680" s="1"/>
      <c r="N2680" s="1"/>
      <c r="O2680" s="1"/>
      <c r="P2680" s="6"/>
      <c r="Q2680" s="1"/>
      <c r="R2680" s="1"/>
      <c r="S2680" s="1"/>
      <c r="T2680" s="1"/>
      <c r="U2680" s="1"/>
      <c r="V2680" s="1"/>
      <c r="W2680" s="1"/>
      <c r="X2680" s="1"/>
      <c r="Y2680" s="1"/>
      <c r="Z2680" s="1"/>
    </row>
    <row r="2681" customFormat="false" ht="21.75" hidden="false" customHeight="true" outlineLevel="0" collapsed="false">
      <c r="A2681" s="4" t="n">
        <v>43500</v>
      </c>
      <c r="B2681" s="53" t="s">
        <v>81</v>
      </c>
      <c r="C2681" s="55" t="s">
        <v>15</v>
      </c>
      <c r="D2681" s="55" t="s">
        <v>43</v>
      </c>
      <c r="E2681" s="55" t="s">
        <v>883</v>
      </c>
      <c r="F2681" s="50" t="s">
        <v>6220</v>
      </c>
      <c r="G2681" s="51" t="n">
        <v>960212148</v>
      </c>
      <c r="H2681" s="52" t="s">
        <v>6221</v>
      </c>
      <c r="I2681" s="52"/>
      <c r="J2681" s="1"/>
      <c r="K2681" s="1" t="s">
        <v>21</v>
      </c>
      <c r="L2681" s="1"/>
      <c r="M2681" s="1"/>
      <c r="N2681" s="1"/>
      <c r="O2681" s="1"/>
      <c r="P2681" s="6"/>
      <c r="Q2681" s="1"/>
      <c r="R2681" s="1"/>
      <c r="S2681" s="1"/>
      <c r="T2681" s="1"/>
      <c r="U2681" s="1"/>
      <c r="V2681" s="1"/>
      <c r="W2681" s="1"/>
      <c r="X2681" s="1"/>
      <c r="Y2681" s="1"/>
      <c r="Z2681" s="1"/>
    </row>
    <row r="2682" customFormat="false" ht="21.75" hidden="false" customHeight="true" outlineLevel="0" collapsed="false">
      <c r="A2682" s="4" t="n">
        <v>43500</v>
      </c>
      <c r="B2682" s="53" t="s">
        <v>964</v>
      </c>
      <c r="C2682" s="55" t="s">
        <v>15</v>
      </c>
      <c r="D2682" s="55" t="s">
        <v>43</v>
      </c>
      <c r="E2682" s="55" t="s">
        <v>17</v>
      </c>
      <c r="F2682" s="50" t="s">
        <v>6222</v>
      </c>
      <c r="G2682" s="51" t="n">
        <v>996705622</v>
      </c>
      <c r="H2682" s="52" t="s">
        <v>6223</v>
      </c>
      <c r="I2682" s="52"/>
      <c r="J2682" s="1"/>
      <c r="K2682" s="1" t="s">
        <v>21</v>
      </c>
      <c r="L2682" s="1"/>
      <c r="M2682" s="1"/>
      <c r="N2682" s="1"/>
      <c r="O2682" s="1"/>
      <c r="P2682" s="6"/>
      <c r="Q2682" s="1"/>
      <c r="R2682" s="1"/>
      <c r="S2682" s="1"/>
      <c r="T2682" s="1"/>
      <c r="U2682" s="1"/>
      <c r="V2682" s="1"/>
      <c r="W2682" s="1"/>
      <c r="X2682" s="1"/>
      <c r="Y2682" s="1"/>
      <c r="Z2682" s="1"/>
    </row>
    <row r="2683" customFormat="false" ht="21.75" hidden="false" customHeight="true" outlineLevel="0" collapsed="false">
      <c r="A2683" s="4" t="n">
        <v>43500</v>
      </c>
      <c r="B2683" s="53" t="s">
        <v>48</v>
      </c>
      <c r="C2683" s="55" t="s">
        <v>15</v>
      </c>
      <c r="D2683" s="55" t="s">
        <v>43</v>
      </c>
      <c r="E2683" s="55" t="s">
        <v>44</v>
      </c>
      <c r="F2683" s="50" t="s">
        <v>6224</v>
      </c>
      <c r="G2683" s="51" t="n">
        <v>986967230</v>
      </c>
      <c r="H2683" s="52" t="s">
        <v>6225</v>
      </c>
      <c r="I2683" s="52"/>
      <c r="J2683" s="1"/>
      <c r="K2683" s="1" t="s">
        <v>21</v>
      </c>
      <c r="L2683" s="1"/>
      <c r="M2683" s="1"/>
      <c r="N2683" s="1"/>
      <c r="O2683" s="1"/>
      <c r="P2683" s="6"/>
      <c r="Q2683" s="1"/>
      <c r="R2683" s="1"/>
      <c r="S2683" s="1"/>
      <c r="T2683" s="1"/>
      <c r="U2683" s="1"/>
      <c r="V2683" s="1"/>
      <c r="W2683" s="1"/>
      <c r="X2683" s="1"/>
      <c r="Y2683" s="1"/>
      <c r="Z2683" s="1"/>
    </row>
    <row r="2684" customFormat="false" ht="21.75" hidden="false" customHeight="true" outlineLevel="0" collapsed="false">
      <c r="A2684" s="4" t="n">
        <v>43500</v>
      </c>
      <c r="B2684" s="53" t="s">
        <v>48</v>
      </c>
      <c r="C2684" s="55" t="s">
        <v>15</v>
      </c>
      <c r="D2684" s="55" t="s">
        <v>43</v>
      </c>
      <c r="E2684" s="55" t="s">
        <v>44</v>
      </c>
      <c r="F2684" s="50" t="s">
        <v>6226</v>
      </c>
      <c r="G2684" s="51" t="n">
        <v>960992309</v>
      </c>
      <c r="H2684" s="52" t="s">
        <v>6227</v>
      </c>
      <c r="I2684" s="52"/>
      <c r="J2684" s="1"/>
      <c r="K2684" s="1" t="s">
        <v>21</v>
      </c>
      <c r="L2684" s="1"/>
      <c r="M2684" s="1"/>
      <c r="N2684" s="1"/>
      <c r="O2684" s="1"/>
      <c r="P2684" s="6"/>
      <c r="Q2684" s="1"/>
      <c r="R2684" s="1"/>
      <c r="S2684" s="1"/>
      <c r="T2684" s="1"/>
      <c r="U2684" s="1"/>
      <c r="V2684" s="1"/>
      <c r="W2684" s="1"/>
      <c r="X2684" s="1"/>
      <c r="Y2684" s="1"/>
      <c r="Z2684" s="1"/>
    </row>
    <row r="2685" customFormat="false" ht="21.75" hidden="false" customHeight="true" outlineLevel="0" collapsed="false">
      <c r="A2685" s="4" t="n">
        <v>43500</v>
      </c>
      <c r="B2685" s="53" t="s">
        <v>48</v>
      </c>
      <c r="C2685" s="55" t="s">
        <v>15</v>
      </c>
      <c r="D2685" s="55" t="s">
        <v>43</v>
      </c>
      <c r="E2685" s="55" t="s">
        <v>44</v>
      </c>
      <c r="F2685" s="50" t="s">
        <v>6228</v>
      </c>
      <c r="G2685" s="51" t="n">
        <v>968613294</v>
      </c>
      <c r="H2685" s="52" t="s">
        <v>6229</v>
      </c>
      <c r="I2685" s="52"/>
      <c r="J2685" s="1"/>
      <c r="K2685" s="1" t="s">
        <v>21</v>
      </c>
      <c r="L2685" s="1"/>
      <c r="M2685" s="1"/>
      <c r="N2685" s="1"/>
      <c r="O2685" s="1"/>
      <c r="P2685" s="6"/>
      <c r="Q2685" s="1"/>
      <c r="R2685" s="1"/>
      <c r="S2685" s="1"/>
      <c r="T2685" s="1"/>
      <c r="U2685" s="1"/>
      <c r="V2685" s="1"/>
      <c r="W2685" s="1"/>
      <c r="X2685" s="1"/>
      <c r="Y2685" s="1"/>
      <c r="Z2685" s="1"/>
    </row>
    <row r="2686" customFormat="false" ht="21.75" hidden="false" customHeight="true" outlineLevel="0" collapsed="false">
      <c r="A2686" s="4" t="n">
        <v>43500</v>
      </c>
      <c r="B2686" s="61" t="s">
        <v>1114</v>
      </c>
      <c r="C2686" s="46" t="s">
        <v>15</v>
      </c>
      <c r="D2686" s="46" t="s">
        <v>43</v>
      </c>
      <c r="E2686" s="46" t="s">
        <v>109</v>
      </c>
      <c r="F2686" s="50" t="s">
        <v>6230</v>
      </c>
      <c r="G2686" s="53"/>
      <c r="H2686" s="52" t="s">
        <v>6231</v>
      </c>
      <c r="I2686" s="52"/>
      <c r="J2686" s="1"/>
      <c r="K2686" s="1" t="s">
        <v>6189</v>
      </c>
      <c r="L2686" s="1"/>
      <c r="M2686" s="1"/>
      <c r="N2686" s="1"/>
      <c r="O2686" s="1"/>
      <c r="P2686" s="6"/>
      <c r="Q2686" s="1"/>
      <c r="R2686" s="1"/>
      <c r="S2686" s="1"/>
      <c r="T2686" s="1"/>
      <c r="U2686" s="1"/>
      <c r="V2686" s="1"/>
      <c r="W2686" s="1"/>
      <c r="X2686" s="1"/>
      <c r="Y2686" s="1"/>
      <c r="Z2686" s="1"/>
    </row>
    <row r="2687" customFormat="false" ht="21.75" hidden="false" customHeight="true" outlineLevel="0" collapsed="false">
      <c r="A2687" s="4" t="n">
        <v>43500</v>
      </c>
      <c r="B2687" s="61" t="s">
        <v>178</v>
      </c>
      <c r="C2687" s="46" t="s">
        <v>15</v>
      </c>
      <c r="D2687" s="46" t="s">
        <v>43</v>
      </c>
      <c r="E2687" s="46" t="s">
        <v>44</v>
      </c>
      <c r="F2687" s="50" t="s">
        <v>6195</v>
      </c>
      <c r="G2687" s="51" t="n">
        <v>982895255</v>
      </c>
      <c r="H2687" s="52" t="s">
        <v>6196</v>
      </c>
      <c r="I2687" s="52"/>
      <c r="J2687" s="1"/>
      <c r="K2687" s="1" t="s">
        <v>21</v>
      </c>
      <c r="L2687" s="1"/>
      <c r="M2687" s="1"/>
      <c r="N2687" s="1"/>
      <c r="O2687" s="1"/>
      <c r="P2687" s="6"/>
      <c r="Q2687" s="1"/>
      <c r="R2687" s="1"/>
      <c r="S2687" s="1"/>
      <c r="T2687" s="1"/>
      <c r="U2687" s="1"/>
      <c r="V2687" s="1"/>
      <c r="W2687" s="1"/>
      <c r="X2687" s="1"/>
      <c r="Y2687" s="1"/>
      <c r="Z2687" s="1"/>
    </row>
    <row r="2688" customFormat="false" ht="21.75" hidden="false" customHeight="true" outlineLevel="0" collapsed="false">
      <c r="A2688" s="4" t="n">
        <v>43500</v>
      </c>
      <c r="B2688" s="61" t="s">
        <v>42</v>
      </c>
      <c r="C2688" s="46" t="s">
        <v>15</v>
      </c>
      <c r="D2688" s="46" t="s">
        <v>43</v>
      </c>
      <c r="E2688" s="46" t="s">
        <v>44</v>
      </c>
      <c r="F2688" s="50" t="s">
        <v>6232</v>
      </c>
      <c r="G2688" s="51" t="n">
        <v>994873801</v>
      </c>
      <c r="H2688" s="52" t="s">
        <v>6233</v>
      </c>
      <c r="I2688" s="52"/>
      <c r="J2688" s="1"/>
      <c r="K2688" s="1" t="s">
        <v>6234</v>
      </c>
      <c r="L2688" s="1"/>
      <c r="M2688" s="1"/>
      <c r="N2688" s="1"/>
      <c r="O2688" s="1"/>
      <c r="P2688" s="6"/>
      <c r="Q2688" s="1"/>
      <c r="R2688" s="1"/>
      <c r="S2688" s="1"/>
      <c r="T2688" s="1"/>
      <c r="U2688" s="1"/>
      <c r="V2688" s="1"/>
      <c r="W2688" s="1"/>
      <c r="X2688" s="1"/>
      <c r="Y2688" s="1"/>
      <c r="Z2688" s="1"/>
    </row>
    <row r="2689" customFormat="false" ht="21.75" hidden="false" customHeight="true" outlineLevel="0" collapsed="false">
      <c r="A2689" s="4" t="n">
        <v>43500</v>
      </c>
      <c r="B2689" s="61" t="s">
        <v>1114</v>
      </c>
      <c r="C2689" s="46" t="s">
        <v>15</v>
      </c>
      <c r="D2689" s="46" t="s">
        <v>43</v>
      </c>
      <c r="E2689" s="46" t="s">
        <v>109</v>
      </c>
      <c r="F2689" s="50" t="s">
        <v>5939</v>
      </c>
      <c r="G2689" s="51" t="n">
        <v>984315708</v>
      </c>
      <c r="H2689" s="53"/>
      <c r="I2689" s="53"/>
      <c r="J2689" s="1"/>
      <c r="K2689" s="1" t="s">
        <v>6235</v>
      </c>
      <c r="L2689" s="1"/>
      <c r="M2689" s="1"/>
      <c r="N2689" s="1"/>
      <c r="O2689" s="1"/>
      <c r="P2689" s="6"/>
      <c r="Q2689" s="1"/>
      <c r="R2689" s="1"/>
      <c r="S2689" s="1"/>
      <c r="T2689" s="1"/>
      <c r="U2689" s="1"/>
      <c r="V2689" s="1"/>
      <c r="W2689" s="1"/>
      <c r="X2689" s="1"/>
      <c r="Y2689" s="1"/>
      <c r="Z2689" s="1"/>
    </row>
    <row r="2690" customFormat="false" ht="21.75" hidden="false" customHeight="true" outlineLevel="0" collapsed="false">
      <c r="A2690" s="4" t="n">
        <v>43500</v>
      </c>
      <c r="B2690" s="61" t="s">
        <v>48</v>
      </c>
      <c r="C2690" s="46" t="s">
        <v>15</v>
      </c>
      <c r="D2690" s="46" t="s">
        <v>43</v>
      </c>
      <c r="E2690" s="46" t="s">
        <v>109</v>
      </c>
      <c r="F2690" s="50" t="s">
        <v>6236</v>
      </c>
      <c r="G2690" s="51" t="n">
        <v>990056007</v>
      </c>
      <c r="H2690" s="53"/>
      <c r="I2690" s="53"/>
      <c r="J2690" s="1"/>
      <c r="K2690" s="1" t="s">
        <v>6237</v>
      </c>
      <c r="L2690" s="1"/>
      <c r="M2690" s="1"/>
      <c r="N2690" s="1"/>
      <c r="O2690" s="1"/>
      <c r="P2690" s="6"/>
      <c r="Q2690" s="1"/>
      <c r="R2690" s="1"/>
      <c r="S2690" s="1"/>
      <c r="T2690" s="1"/>
      <c r="U2690" s="1"/>
      <c r="V2690" s="1"/>
      <c r="W2690" s="1"/>
      <c r="X2690" s="1"/>
      <c r="Y2690" s="1"/>
      <c r="Z2690" s="1"/>
    </row>
    <row r="2691" customFormat="false" ht="21.75" hidden="false" customHeight="true" outlineLevel="0" collapsed="false">
      <c r="A2691" s="4" t="n">
        <v>43500</v>
      </c>
      <c r="B2691" s="61" t="s">
        <v>48</v>
      </c>
      <c r="C2691" s="46" t="s">
        <v>15</v>
      </c>
      <c r="D2691" s="46" t="s">
        <v>43</v>
      </c>
      <c r="E2691" s="46" t="s">
        <v>109</v>
      </c>
      <c r="F2691" s="50" t="s">
        <v>6238</v>
      </c>
      <c r="G2691" s="51" t="n">
        <v>931131635</v>
      </c>
      <c r="H2691" s="60" t="s">
        <v>6239</v>
      </c>
      <c r="I2691" s="53"/>
      <c r="J2691" s="1"/>
      <c r="K2691" s="1" t="s">
        <v>580</v>
      </c>
      <c r="L2691" s="1"/>
      <c r="M2691" s="1"/>
      <c r="N2691" s="1"/>
      <c r="O2691" s="1"/>
      <c r="P2691" s="6"/>
      <c r="Q2691" s="1"/>
      <c r="R2691" s="1"/>
      <c r="S2691" s="1"/>
      <c r="T2691" s="1"/>
      <c r="U2691" s="1"/>
      <c r="V2691" s="1"/>
      <c r="W2691" s="1"/>
      <c r="X2691" s="1"/>
      <c r="Y2691" s="1"/>
      <c r="Z2691" s="1"/>
    </row>
    <row r="2692" customFormat="false" ht="21.75" hidden="false" customHeight="true" outlineLevel="0" collapsed="false">
      <c r="A2692" s="4" t="n">
        <v>43500</v>
      </c>
      <c r="B2692" s="61" t="s">
        <v>48</v>
      </c>
      <c r="C2692" s="46" t="s">
        <v>15</v>
      </c>
      <c r="D2692" s="46" t="s">
        <v>43</v>
      </c>
      <c r="E2692" s="46" t="s">
        <v>109</v>
      </c>
      <c r="F2692" s="50" t="s">
        <v>6240</v>
      </c>
      <c r="G2692" s="51" t="n">
        <v>959160445</v>
      </c>
      <c r="H2692" s="52" t="s">
        <v>6241</v>
      </c>
      <c r="I2692" s="52"/>
      <c r="J2692" s="1"/>
      <c r="K2692" s="1" t="s">
        <v>21</v>
      </c>
      <c r="L2692" s="1"/>
      <c r="M2692" s="1"/>
      <c r="N2692" s="1"/>
      <c r="O2692" s="1"/>
      <c r="P2692" s="6"/>
      <c r="Q2692" s="1"/>
      <c r="R2692" s="1"/>
      <c r="S2692" s="1"/>
      <c r="T2692" s="1"/>
      <c r="U2692" s="1"/>
      <c r="V2692" s="1"/>
      <c r="W2692" s="1"/>
      <c r="X2692" s="1"/>
      <c r="Y2692" s="1"/>
      <c r="Z2692" s="1"/>
    </row>
    <row r="2693" customFormat="false" ht="21.75" hidden="false" customHeight="true" outlineLevel="0" collapsed="false">
      <c r="A2693" s="4" t="n">
        <v>43500</v>
      </c>
      <c r="B2693" s="61" t="s">
        <v>48</v>
      </c>
      <c r="C2693" s="46" t="s">
        <v>15</v>
      </c>
      <c r="D2693" s="46" t="s">
        <v>43</v>
      </c>
      <c r="E2693" s="46" t="s">
        <v>44</v>
      </c>
      <c r="F2693" s="50" t="s">
        <v>6242</v>
      </c>
      <c r="G2693" s="51" t="n">
        <v>980078975</v>
      </c>
      <c r="H2693" s="52" t="s">
        <v>6243</v>
      </c>
      <c r="I2693" s="52"/>
      <c r="J2693" s="1"/>
      <c r="K2693" s="1" t="s">
        <v>6244</v>
      </c>
      <c r="L2693" s="1"/>
      <c r="M2693" s="1"/>
      <c r="N2693" s="1"/>
      <c r="O2693" s="1"/>
      <c r="P2693" s="6"/>
      <c r="Q2693" s="1"/>
      <c r="R2693" s="1"/>
      <c r="S2693" s="1"/>
      <c r="T2693" s="1"/>
      <c r="U2693" s="1"/>
      <c r="V2693" s="1"/>
      <c r="W2693" s="1"/>
      <c r="X2693" s="1"/>
      <c r="Y2693" s="1"/>
      <c r="Z2693" s="1"/>
    </row>
    <row r="2694" customFormat="false" ht="21.75" hidden="false" customHeight="true" outlineLevel="0" collapsed="false">
      <c r="A2694" s="4" t="n">
        <v>43500</v>
      </c>
      <c r="B2694" s="61" t="s">
        <v>14</v>
      </c>
      <c r="C2694" s="46" t="s">
        <v>15</v>
      </c>
      <c r="D2694" s="46" t="s">
        <v>16</v>
      </c>
      <c r="E2694" s="46" t="s">
        <v>17</v>
      </c>
      <c r="F2694" s="50" t="s">
        <v>6245</v>
      </c>
      <c r="G2694" s="51" t="n">
        <v>961228961</v>
      </c>
      <c r="H2694" s="52" t="s">
        <v>6246</v>
      </c>
      <c r="I2694" s="52"/>
      <c r="J2694" s="1"/>
      <c r="K2694" s="1" t="s">
        <v>3623</v>
      </c>
      <c r="L2694" s="1"/>
      <c r="M2694" s="1"/>
      <c r="N2694" s="1"/>
      <c r="O2694" s="1"/>
      <c r="P2694" s="6"/>
      <c r="Q2694" s="1"/>
      <c r="R2694" s="1"/>
      <c r="S2694" s="1"/>
      <c r="T2694" s="1"/>
      <c r="U2694" s="1"/>
      <c r="V2694" s="1"/>
      <c r="W2694" s="1"/>
      <c r="X2694" s="1"/>
      <c r="Y2694" s="1"/>
      <c r="Z2694" s="1"/>
    </row>
    <row r="2695" customFormat="false" ht="21.75" hidden="false" customHeight="true" outlineLevel="0" collapsed="false">
      <c r="A2695" s="4" t="n">
        <v>43500</v>
      </c>
      <c r="B2695" s="61" t="s">
        <v>127</v>
      </c>
      <c r="C2695" s="46" t="s">
        <v>15</v>
      </c>
      <c r="D2695" s="46" t="s">
        <v>43</v>
      </c>
      <c r="E2695" s="46" t="s">
        <v>44</v>
      </c>
      <c r="F2695" s="50" t="s">
        <v>6247</v>
      </c>
      <c r="G2695" s="51" t="n">
        <v>994299272</v>
      </c>
      <c r="H2695" s="52" t="s">
        <v>6248</v>
      </c>
      <c r="I2695" s="52"/>
      <c r="J2695" s="1"/>
      <c r="K2695" s="1" t="s">
        <v>21</v>
      </c>
      <c r="L2695" s="1"/>
      <c r="M2695" s="1"/>
      <c r="N2695" s="1"/>
      <c r="O2695" s="1"/>
      <c r="P2695" s="6"/>
      <c r="Q2695" s="1"/>
      <c r="R2695" s="1"/>
      <c r="S2695" s="1"/>
      <c r="T2695" s="1"/>
      <c r="U2695" s="1"/>
      <c r="V2695" s="1"/>
      <c r="W2695" s="1"/>
      <c r="X2695" s="1"/>
      <c r="Y2695" s="1"/>
      <c r="Z2695" s="1"/>
    </row>
    <row r="2696" customFormat="false" ht="21.75" hidden="false" customHeight="true" outlineLevel="0" collapsed="false">
      <c r="A2696" s="4" t="n">
        <v>43500</v>
      </c>
      <c r="B2696" s="61" t="s">
        <v>352</v>
      </c>
      <c r="C2696" s="46" t="s">
        <v>15</v>
      </c>
      <c r="D2696" s="46" t="s">
        <v>43</v>
      </c>
      <c r="E2696" s="46" t="s">
        <v>883</v>
      </c>
      <c r="F2696" s="50" t="s">
        <v>6249</v>
      </c>
      <c r="G2696" s="51" t="n">
        <v>990723203</v>
      </c>
      <c r="H2696" s="52" t="s">
        <v>6250</v>
      </c>
      <c r="I2696" s="52"/>
      <c r="J2696" s="1"/>
      <c r="K2696" s="1" t="s">
        <v>21</v>
      </c>
      <c r="L2696" s="1"/>
      <c r="M2696" s="1"/>
      <c r="N2696" s="1"/>
      <c r="O2696" s="1"/>
      <c r="P2696" s="6"/>
      <c r="Q2696" s="1"/>
      <c r="R2696" s="1"/>
      <c r="S2696" s="1"/>
      <c r="T2696" s="1"/>
      <c r="U2696" s="1"/>
      <c r="V2696" s="1"/>
      <c r="W2696" s="1"/>
      <c r="X2696" s="1"/>
      <c r="Y2696" s="1"/>
      <c r="Z2696" s="1"/>
    </row>
    <row r="2697" customFormat="false" ht="21.75" hidden="false" customHeight="true" outlineLevel="0" collapsed="false">
      <c r="A2697" s="4" t="n">
        <v>43500</v>
      </c>
      <c r="B2697" s="61" t="s">
        <v>48</v>
      </c>
      <c r="C2697" s="46" t="s">
        <v>15</v>
      </c>
      <c r="D2697" s="46" t="s">
        <v>43</v>
      </c>
      <c r="E2697" s="46" t="s">
        <v>109</v>
      </c>
      <c r="F2697" s="50" t="s">
        <v>6251</v>
      </c>
      <c r="G2697" s="51" t="n">
        <v>959087017</v>
      </c>
      <c r="H2697" s="52" t="s">
        <v>6252</v>
      </c>
      <c r="I2697" s="52"/>
      <c r="J2697" s="1"/>
      <c r="K2697" s="1" t="s">
        <v>6253</v>
      </c>
      <c r="L2697" s="1"/>
      <c r="M2697" s="1"/>
      <c r="N2697" s="1"/>
      <c r="O2697" s="1"/>
      <c r="P2697" s="6"/>
      <c r="Q2697" s="1"/>
      <c r="R2697" s="1"/>
      <c r="S2697" s="1"/>
      <c r="T2697" s="1"/>
      <c r="U2697" s="1"/>
      <c r="V2697" s="1"/>
      <c r="W2697" s="1"/>
      <c r="X2697" s="1"/>
      <c r="Y2697" s="1"/>
      <c r="Z2697" s="1"/>
    </row>
    <row r="2698" customFormat="false" ht="21.75" hidden="false" customHeight="true" outlineLevel="0" collapsed="false">
      <c r="A2698" s="4" t="n">
        <v>43501</v>
      </c>
      <c r="B2698" s="46" t="s">
        <v>48</v>
      </c>
      <c r="C2698" s="46" t="s">
        <v>15</v>
      </c>
      <c r="D2698" s="46" t="s">
        <v>43</v>
      </c>
      <c r="E2698" s="46" t="s">
        <v>109</v>
      </c>
      <c r="F2698" s="46" t="s">
        <v>6254</v>
      </c>
      <c r="G2698" s="46" t="n">
        <f aca="false">+593959212196</f>
        <v>593959212196</v>
      </c>
      <c r="H2698" s="46" t="s">
        <v>6255</v>
      </c>
      <c r="I2698" s="46"/>
      <c r="J2698" s="1"/>
      <c r="K2698" s="1" t="s">
        <v>5481</v>
      </c>
      <c r="L2698" s="1" t="s">
        <v>1156</v>
      </c>
      <c r="M2698" s="1"/>
      <c r="N2698" s="1"/>
      <c r="O2698" s="1"/>
      <c r="P2698" s="6"/>
      <c r="Q2698" s="1"/>
      <c r="R2698" s="1"/>
      <c r="S2698" s="1"/>
      <c r="T2698" s="1"/>
      <c r="U2698" s="1"/>
      <c r="V2698" s="1"/>
      <c r="W2698" s="1"/>
      <c r="X2698" s="1"/>
      <c r="Y2698" s="1"/>
      <c r="Z2698" s="1"/>
    </row>
    <row r="2699" customFormat="false" ht="21.75" hidden="false" customHeight="true" outlineLevel="0" collapsed="false">
      <c r="A2699" s="4" t="n">
        <v>43501</v>
      </c>
      <c r="B2699" s="46" t="s">
        <v>127</v>
      </c>
      <c r="C2699" s="46" t="s">
        <v>15</v>
      </c>
      <c r="D2699" s="46" t="s">
        <v>43</v>
      </c>
      <c r="E2699" s="46" t="s">
        <v>109</v>
      </c>
      <c r="F2699" s="46" t="s">
        <v>6256</v>
      </c>
      <c r="G2699" s="57" t="n">
        <v>988182563</v>
      </c>
      <c r="H2699" s="46" t="s">
        <v>6257</v>
      </c>
      <c r="I2699" s="46"/>
      <c r="J2699" s="1"/>
      <c r="K2699" s="1" t="s">
        <v>1156</v>
      </c>
      <c r="L2699" s="1" t="s">
        <v>1156</v>
      </c>
      <c r="M2699" s="1"/>
      <c r="N2699" s="1"/>
      <c r="O2699" s="1"/>
      <c r="P2699" s="6"/>
      <c r="Q2699" s="1"/>
      <c r="R2699" s="1"/>
      <c r="S2699" s="1"/>
      <c r="T2699" s="1"/>
      <c r="U2699" s="1"/>
      <c r="V2699" s="1"/>
      <c r="W2699" s="1"/>
      <c r="X2699" s="1"/>
      <c r="Y2699" s="1"/>
      <c r="Z2699" s="1"/>
    </row>
    <row r="2700" customFormat="false" ht="21.75" hidden="false" customHeight="true" outlineLevel="0" collapsed="false">
      <c r="A2700" s="4" t="n">
        <v>43501</v>
      </c>
      <c r="B2700" s="46" t="s">
        <v>48</v>
      </c>
      <c r="C2700" s="46" t="s">
        <v>15</v>
      </c>
      <c r="D2700" s="46" t="s">
        <v>43</v>
      </c>
      <c r="E2700" s="46" t="s">
        <v>109</v>
      </c>
      <c r="F2700" s="46" t="s">
        <v>6258</v>
      </c>
      <c r="G2700" s="46" t="n">
        <f aca="false">+593959773174</f>
        <v>593959773174</v>
      </c>
      <c r="H2700" s="46" t="s">
        <v>6259</v>
      </c>
      <c r="I2700" s="46"/>
      <c r="J2700" s="1"/>
      <c r="K2700" s="1" t="s">
        <v>1156</v>
      </c>
      <c r="L2700" s="1" t="s">
        <v>5481</v>
      </c>
      <c r="M2700" s="1"/>
      <c r="N2700" s="1"/>
      <c r="O2700" s="1"/>
      <c r="P2700" s="6"/>
      <c r="Q2700" s="1"/>
      <c r="R2700" s="1"/>
      <c r="S2700" s="1"/>
      <c r="T2700" s="1"/>
      <c r="U2700" s="1"/>
      <c r="V2700" s="1"/>
      <c r="W2700" s="1"/>
      <c r="X2700" s="1"/>
      <c r="Y2700" s="1"/>
      <c r="Z2700" s="1"/>
    </row>
    <row r="2701" customFormat="false" ht="21.75" hidden="false" customHeight="true" outlineLevel="0" collapsed="false">
      <c r="A2701" s="4" t="n">
        <v>43501</v>
      </c>
      <c r="B2701" s="46" t="s">
        <v>1106</v>
      </c>
      <c r="C2701" s="46" t="s">
        <v>15</v>
      </c>
      <c r="D2701" s="46" t="s">
        <v>43</v>
      </c>
      <c r="E2701" s="46" t="s">
        <v>109</v>
      </c>
      <c r="F2701" s="46" t="s">
        <v>6260</v>
      </c>
      <c r="G2701" s="46" t="n">
        <f aca="false">+593985842076</f>
        <v>593985842076</v>
      </c>
      <c r="H2701" s="46" t="s">
        <v>6261</v>
      </c>
      <c r="I2701" s="46"/>
      <c r="J2701" s="1"/>
      <c r="K2701" s="1" t="s">
        <v>6262</v>
      </c>
      <c r="L2701" s="1"/>
      <c r="M2701" s="1"/>
      <c r="N2701" s="1"/>
      <c r="O2701" s="1"/>
      <c r="P2701" s="6"/>
      <c r="Q2701" s="1"/>
      <c r="R2701" s="1"/>
      <c r="S2701" s="1"/>
      <c r="T2701" s="1"/>
      <c r="U2701" s="1"/>
      <c r="V2701" s="1"/>
      <c r="W2701" s="1"/>
      <c r="X2701" s="1"/>
      <c r="Y2701" s="1"/>
      <c r="Z2701" s="1"/>
    </row>
    <row r="2702" customFormat="false" ht="21.75" hidden="false" customHeight="true" outlineLevel="0" collapsed="false">
      <c r="A2702" s="4" t="n">
        <v>43501</v>
      </c>
      <c r="B2702" s="46" t="s">
        <v>48</v>
      </c>
      <c r="C2702" s="46" t="s">
        <v>15</v>
      </c>
      <c r="D2702" s="46" t="s">
        <v>43</v>
      </c>
      <c r="E2702" s="46" t="s">
        <v>109</v>
      </c>
      <c r="F2702" s="46" t="s">
        <v>6263</v>
      </c>
      <c r="G2702" s="57" t="n">
        <v>9957343511</v>
      </c>
      <c r="H2702" s="46" t="s">
        <v>6264</v>
      </c>
      <c r="I2702" s="46"/>
      <c r="J2702" s="1"/>
      <c r="K2702" s="1" t="s">
        <v>6265</v>
      </c>
      <c r="L2702" s="1"/>
      <c r="M2702" s="1"/>
      <c r="N2702" s="1"/>
      <c r="O2702" s="1"/>
      <c r="P2702" s="6"/>
      <c r="Q2702" s="1"/>
      <c r="R2702" s="1"/>
      <c r="S2702" s="1"/>
      <c r="T2702" s="1"/>
      <c r="U2702" s="1"/>
      <c r="V2702" s="1"/>
      <c r="W2702" s="1"/>
      <c r="X2702" s="1"/>
      <c r="Y2702" s="1"/>
      <c r="Z2702" s="1"/>
    </row>
    <row r="2703" customFormat="false" ht="21.75" hidden="false" customHeight="true" outlineLevel="0" collapsed="false">
      <c r="A2703" s="4" t="n">
        <v>43501</v>
      </c>
      <c r="B2703" s="46" t="s">
        <v>532</v>
      </c>
      <c r="C2703" s="46" t="s">
        <v>15</v>
      </c>
      <c r="D2703" s="46" t="s">
        <v>43</v>
      </c>
      <c r="E2703" s="46" t="s">
        <v>109</v>
      </c>
      <c r="F2703" s="46" t="s">
        <v>6266</v>
      </c>
      <c r="G2703" s="46" t="n">
        <f aca="false">+5930997200682</f>
        <v>5930997200682</v>
      </c>
      <c r="H2703" s="46" t="s">
        <v>6267</v>
      </c>
      <c r="I2703" s="46"/>
      <c r="J2703" s="1"/>
      <c r="K2703" s="1" t="s">
        <v>6262</v>
      </c>
      <c r="L2703" s="1"/>
      <c r="M2703" s="1"/>
      <c r="N2703" s="1"/>
      <c r="O2703" s="1"/>
      <c r="P2703" s="6"/>
      <c r="Q2703" s="1"/>
      <c r="R2703" s="1"/>
      <c r="S2703" s="1"/>
      <c r="T2703" s="1"/>
      <c r="U2703" s="1"/>
      <c r="V2703" s="1"/>
      <c r="W2703" s="1"/>
      <c r="X2703" s="1"/>
      <c r="Y2703" s="1"/>
      <c r="Z2703" s="1"/>
    </row>
    <row r="2704" customFormat="false" ht="21.75" hidden="false" customHeight="true" outlineLevel="0" collapsed="false">
      <c r="A2704" s="4" t="n">
        <v>43501</v>
      </c>
      <c r="B2704" s="46" t="s">
        <v>48</v>
      </c>
      <c r="C2704" s="46" t="s">
        <v>15</v>
      </c>
      <c r="D2704" s="46" t="s">
        <v>43</v>
      </c>
      <c r="E2704" s="46" t="s">
        <v>109</v>
      </c>
      <c r="F2704" s="46" t="s">
        <v>6268</v>
      </c>
      <c r="G2704" s="46" t="n">
        <f aca="false">+593991871993</f>
        <v>593991871993</v>
      </c>
      <c r="H2704" s="46" t="s">
        <v>6269</v>
      </c>
      <c r="I2704" s="46"/>
      <c r="J2704" s="1"/>
      <c r="K2704" s="1" t="s">
        <v>1156</v>
      </c>
      <c r="L2704" s="1" t="s">
        <v>1156</v>
      </c>
      <c r="M2704" s="1"/>
      <c r="N2704" s="1"/>
      <c r="O2704" s="1"/>
      <c r="P2704" s="6"/>
      <c r="Q2704" s="1"/>
      <c r="R2704" s="1"/>
      <c r="S2704" s="1"/>
      <c r="T2704" s="1"/>
      <c r="U2704" s="1"/>
      <c r="V2704" s="1"/>
      <c r="W2704" s="1"/>
      <c r="X2704" s="1"/>
      <c r="Y2704" s="1"/>
      <c r="Z2704" s="1"/>
    </row>
    <row r="2705" customFormat="false" ht="21.75" hidden="false" customHeight="true" outlineLevel="0" collapsed="false">
      <c r="A2705" s="4" t="n">
        <v>43501</v>
      </c>
      <c r="B2705" s="46" t="s">
        <v>42</v>
      </c>
      <c r="C2705" s="46" t="s">
        <v>15</v>
      </c>
      <c r="D2705" s="46" t="s">
        <v>43</v>
      </c>
      <c r="E2705" s="46" t="s">
        <v>109</v>
      </c>
      <c r="F2705" s="46" t="s">
        <v>6270</v>
      </c>
      <c r="G2705" s="46" t="n">
        <f aca="false">+593988561628</f>
        <v>593988561628</v>
      </c>
      <c r="H2705" s="46" t="s">
        <v>6271</v>
      </c>
      <c r="I2705" s="46"/>
      <c r="J2705" s="1"/>
      <c r="K2705" s="1" t="s">
        <v>1156</v>
      </c>
      <c r="L2705" s="1" t="s">
        <v>1156</v>
      </c>
      <c r="M2705" s="1"/>
      <c r="N2705" s="1"/>
      <c r="O2705" s="1"/>
      <c r="P2705" s="6"/>
      <c r="Q2705" s="1"/>
      <c r="R2705" s="1"/>
      <c r="S2705" s="1"/>
      <c r="T2705" s="1"/>
      <c r="U2705" s="1"/>
      <c r="V2705" s="1"/>
      <c r="W2705" s="1"/>
      <c r="X2705" s="1"/>
      <c r="Y2705" s="1"/>
      <c r="Z2705" s="1"/>
    </row>
    <row r="2706" customFormat="false" ht="21.75" hidden="false" customHeight="true" outlineLevel="0" collapsed="false">
      <c r="A2706" s="4" t="n">
        <v>43501</v>
      </c>
      <c r="B2706" s="46" t="s">
        <v>1478</v>
      </c>
      <c r="C2706" s="46" t="s">
        <v>15</v>
      </c>
      <c r="D2706" s="46" t="s">
        <v>43</v>
      </c>
      <c r="E2706" s="46" t="s">
        <v>109</v>
      </c>
      <c r="F2706" s="46" t="s">
        <v>6272</v>
      </c>
      <c r="G2706" s="46" t="n">
        <f aca="false">+5930991916444</f>
        <v>5930991916444</v>
      </c>
      <c r="H2706" s="46" t="s">
        <v>6273</v>
      </c>
      <c r="I2706" s="46"/>
      <c r="J2706" s="1"/>
      <c r="K2706" s="1" t="s">
        <v>6274</v>
      </c>
      <c r="L2706" s="1"/>
      <c r="M2706" s="1"/>
      <c r="N2706" s="1"/>
      <c r="O2706" s="1"/>
      <c r="P2706" s="6"/>
      <c r="Q2706" s="1"/>
      <c r="R2706" s="1"/>
      <c r="S2706" s="1"/>
      <c r="T2706" s="1"/>
      <c r="U2706" s="1"/>
      <c r="V2706" s="1"/>
      <c r="W2706" s="1"/>
      <c r="X2706" s="1"/>
      <c r="Y2706" s="1"/>
      <c r="Z2706" s="1"/>
    </row>
    <row r="2707" customFormat="false" ht="21.75" hidden="false" customHeight="true" outlineLevel="0" collapsed="false">
      <c r="A2707" s="4" t="n">
        <v>43501</v>
      </c>
      <c r="B2707" s="46" t="s">
        <v>48</v>
      </c>
      <c r="C2707" s="46" t="s">
        <v>15</v>
      </c>
      <c r="D2707" s="46" t="s">
        <v>43</v>
      </c>
      <c r="E2707" s="46" t="s">
        <v>109</v>
      </c>
      <c r="F2707" s="46" t="s">
        <v>6275</v>
      </c>
      <c r="G2707" s="46" t="n">
        <f aca="false">+593967111419</f>
        <v>593967111419</v>
      </c>
      <c r="H2707" s="46" t="s">
        <v>6276</v>
      </c>
      <c r="I2707" s="46"/>
      <c r="J2707" s="1"/>
      <c r="K2707" s="1" t="s">
        <v>5481</v>
      </c>
      <c r="L2707" s="1" t="s">
        <v>6277</v>
      </c>
      <c r="M2707" s="1"/>
      <c r="N2707" s="1"/>
      <c r="O2707" s="1"/>
      <c r="P2707" s="6"/>
      <c r="Q2707" s="1"/>
      <c r="R2707" s="1"/>
      <c r="S2707" s="1"/>
      <c r="T2707" s="1"/>
      <c r="U2707" s="1"/>
      <c r="V2707" s="1"/>
      <c r="W2707" s="1"/>
      <c r="X2707" s="1"/>
      <c r="Y2707" s="1"/>
      <c r="Z2707" s="1"/>
    </row>
    <row r="2708" customFormat="false" ht="21.75" hidden="false" customHeight="true" outlineLevel="0" collapsed="false">
      <c r="A2708" s="4" t="n">
        <v>43501</v>
      </c>
      <c r="B2708" s="46" t="s">
        <v>48</v>
      </c>
      <c r="C2708" s="46" t="s">
        <v>15</v>
      </c>
      <c r="D2708" s="46" t="s">
        <v>43</v>
      </c>
      <c r="E2708" s="46" t="s">
        <v>109</v>
      </c>
      <c r="F2708" s="46" t="s">
        <v>6278</v>
      </c>
      <c r="G2708" s="46" t="n">
        <f aca="false">+593987143269</f>
        <v>593987143269</v>
      </c>
      <c r="H2708" s="46" t="s">
        <v>6279</v>
      </c>
      <c r="I2708" s="46"/>
      <c r="J2708" s="1"/>
      <c r="K2708" s="1" t="s">
        <v>6280</v>
      </c>
      <c r="L2708" s="1"/>
      <c r="M2708" s="1"/>
      <c r="N2708" s="1"/>
      <c r="O2708" s="1"/>
      <c r="P2708" s="6"/>
      <c r="Q2708" s="1"/>
      <c r="R2708" s="1"/>
      <c r="S2708" s="1"/>
      <c r="T2708" s="1"/>
      <c r="U2708" s="1"/>
      <c r="V2708" s="1"/>
      <c r="W2708" s="1"/>
      <c r="X2708" s="1"/>
      <c r="Y2708" s="1"/>
      <c r="Z2708" s="1"/>
    </row>
    <row r="2709" customFormat="false" ht="21.75" hidden="false" customHeight="true" outlineLevel="0" collapsed="false">
      <c r="A2709" s="4" t="n">
        <v>43501</v>
      </c>
      <c r="B2709" s="46" t="s">
        <v>48</v>
      </c>
      <c r="C2709" s="46" t="s">
        <v>15</v>
      </c>
      <c r="D2709" s="46" t="s">
        <v>43</v>
      </c>
      <c r="E2709" s="46" t="s">
        <v>109</v>
      </c>
      <c r="F2709" s="46" t="s">
        <v>6281</v>
      </c>
      <c r="G2709" s="46" t="n">
        <f aca="false">+5930994161774</f>
        <v>5930994161774</v>
      </c>
      <c r="H2709" s="46" t="s">
        <v>6282</v>
      </c>
      <c r="I2709" s="46"/>
      <c r="J2709" s="1"/>
      <c r="K2709" s="1" t="s">
        <v>5481</v>
      </c>
      <c r="L2709" s="1" t="s">
        <v>6283</v>
      </c>
      <c r="M2709" s="1"/>
      <c r="N2709" s="1"/>
      <c r="O2709" s="1"/>
      <c r="P2709" s="6"/>
      <c r="Q2709" s="1"/>
      <c r="R2709" s="1"/>
      <c r="S2709" s="1"/>
      <c r="T2709" s="1"/>
      <c r="U2709" s="1"/>
      <c r="V2709" s="1"/>
      <c r="W2709" s="1"/>
      <c r="X2709" s="1"/>
      <c r="Y2709" s="1"/>
      <c r="Z2709" s="1"/>
    </row>
    <row r="2710" customFormat="false" ht="21.75" hidden="false" customHeight="true" outlineLevel="0" collapsed="false">
      <c r="A2710" s="4" t="n">
        <v>43501</v>
      </c>
      <c r="B2710" s="46" t="s">
        <v>1478</v>
      </c>
      <c r="C2710" s="46" t="s">
        <v>15</v>
      </c>
      <c r="D2710" s="46" t="s">
        <v>43</v>
      </c>
      <c r="E2710" s="46" t="s">
        <v>109</v>
      </c>
      <c r="F2710" s="46" t="s">
        <v>6284</v>
      </c>
      <c r="G2710" s="46" t="n">
        <f aca="false">+593960716122</f>
        <v>593960716122</v>
      </c>
      <c r="H2710" s="46" t="s">
        <v>6285</v>
      </c>
      <c r="I2710" s="46"/>
      <c r="J2710" s="1"/>
      <c r="K2710" s="1" t="s">
        <v>1149</v>
      </c>
      <c r="L2710" s="1" t="s">
        <v>1156</v>
      </c>
      <c r="M2710" s="1"/>
      <c r="N2710" s="1"/>
      <c r="O2710" s="1"/>
      <c r="P2710" s="6"/>
      <c r="Q2710" s="1"/>
      <c r="R2710" s="1"/>
      <c r="S2710" s="1"/>
      <c r="T2710" s="1"/>
      <c r="U2710" s="1"/>
      <c r="V2710" s="1"/>
      <c r="W2710" s="1"/>
      <c r="X2710" s="1"/>
      <c r="Y2710" s="1"/>
      <c r="Z2710" s="1"/>
    </row>
    <row r="2711" customFormat="false" ht="21.75" hidden="false" customHeight="true" outlineLevel="0" collapsed="false">
      <c r="A2711" s="4" t="n">
        <v>43501</v>
      </c>
      <c r="B2711" s="46" t="s">
        <v>42</v>
      </c>
      <c r="C2711" s="46" t="s">
        <v>15</v>
      </c>
      <c r="D2711" s="46" t="s">
        <v>43</v>
      </c>
      <c r="E2711" s="46" t="s">
        <v>109</v>
      </c>
      <c r="F2711" s="46" t="s">
        <v>6286</v>
      </c>
      <c r="G2711" s="46" t="n">
        <f aca="false">+593962641145</f>
        <v>593962641145</v>
      </c>
      <c r="H2711" s="46" t="s">
        <v>6287</v>
      </c>
      <c r="I2711" s="46"/>
      <c r="J2711" s="1"/>
      <c r="K2711" s="1" t="s">
        <v>5481</v>
      </c>
      <c r="L2711" s="1" t="s">
        <v>6288</v>
      </c>
      <c r="M2711" s="1"/>
      <c r="N2711" s="1"/>
      <c r="O2711" s="1"/>
      <c r="P2711" s="6"/>
      <c r="Q2711" s="1"/>
      <c r="R2711" s="1"/>
      <c r="S2711" s="1"/>
      <c r="T2711" s="1"/>
      <c r="U2711" s="1"/>
      <c r="V2711" s="1"/>
      <c r="W2711" s="1"/>
      <c r="X2711" s="1"/>
      <c r="Y2711" s="1"/>
      <c r="Z2711" s="1"/>
    </row>
    <row r="2712" customFormat="false" ht="21.75" hidden="false" customHeight="true" outlineLevel="0" collapsed="false">
      <c r="A2712" s="4" t="n">
        <v>43501</v>
      </c>
      <c r="B2712" s="46" t="s">
        <v>532</v>
      </c>
      <c r="C2712" s="46" t="s">
        <v>15</v>
      </c>
      <c r="D2712" s="46" t="s">
        <v>43</v>
      </c>
      <c r="E2712" s="46" t="s">
        <v>109</v>
      </c>
      <c r="F2712" s="46" t="s">
        <v>6289</v>
      </c>
      <c r="G2712" s="46" t="n">
        <f aca="false">+5930983785866</f>
        <v>5930983785866</v>
      </c>
      <c r="H2712" s="46" t="s">
        <v>6290</v>
      </c>
      <c r="I2712" s="46"/>
      <c r="J2712" s="1"/>
      <c r="K2712" s="1" t="s">
        <v>1149</v>
      </c>
      <c r="L2712" s="1" t="s">
        <v>6291</v>
      </c>
      <c r="M2712" s="1"/>
      <c r="N2712" s="1"/>
      <c r="O2712" s="1"/>
      <c r="P2712" s="6"/>
      <c r="Q2712" s="1"/>
      <c r="R2712" s="1"/>
      <c r="S2712" s="1"/>
      <c r="T2712" s="1"/>
      <c r="U2712" s="1"/>
      <c r="V2712" s="1"/>
      <c r="W2712" s="1"/>
      <c r="X2712" s="1"/>
      <c r="Y2712" s="1"/>
      <c r="Z2712" s="1"/>
    </row>
    <row r="2713" customFormat="false" ht="21.75" hidden="false" customHeight="true" outlineLevel="0" collapsed="false">
      <c r="A2713" s="4" t="n">
        <v>43501</v>
      </c>
      <c r="B2713" s="46" t="s">
        <v>1114</v>
      </c>
      <c r="C2713" s="46" t="s">
        <v>15</v>
      </c>
      <c r="D2713" s="46" t="s">
        <v>43</v>
      </c>
      <c r="E2713" s="46" t="s">
        <v>109</v>
      </c>
      <c r="F2713" s="46" t="s">
        <v>6292</v>
      </c>
      <c r="G2713" s="46" t="n">
        <f aca="false">+593939668295</f>
        <v>593939668295</v>
      </c>
      <c r="H2713" s="46" t="s">
        <v>6293</v>
      </c>
      <c r="I2713" s="46"/>
      <c r="J2713" s="1"/>
      <c r="K2713" s="1" t="s">
        <v>1156</v>
      </c>
      <c r="L2713" s="1" t="s">
        <v>1156</v>
      </c>
      <c r="M2713" s="1"/>
      <c r="N2713" s="1"/>
      <c r="O2713" s="1"/>
      <c r="P2713" s="6"/>
      <c r="Q2713" s="1"/>
      <c r="R2713" s="1"/>
      <c r="S2713" s="1"/>
      <c r="T2713" s="1"/>
      <c r="U2713" s="1"/>
      <c r="V2713" s="1"/>
      <c r="W2713" s="1"/>
      <c r="X2713" s="1"/>
      <c r="Y2713" s="1"/>
      <c r="Z2713" s="1"/>
    </row>
    <row r="2714" customFormat="false" ht="21.75" hidden="false" customHeight="true" outlineLevel="0" collapsed="false">
      <c r="A2714" s="4" t="n">
        <v>43501</v>
      </c>
      <c r="B2714" s="46" t="s">
        <v>1114</v>
      </c>
      <c r="C2714" s="46" t="s">
        <v>15</v>
      </c>
      <c r="D2714" s="46" t="s">
        <v>43</v>
      </c>
      <c r="E2714" s="46" t="s">
        <v>109</v>
      </c>
      <c r="F2714" s="46" t="s">
        <v>6294</v>
      </c>
      <c r="G2714" s="46" t="n">
        <f aca="false">+593992529639</f>
        <v>593992529639</v>
      </c>
      <c r="H2714" s="46" t="s">
        <v>6295</v>
      </c>
      <c r="I2714" s="46"/>
      <c r="J2714" s="1"/>
      <c r="K2714" s="1" t="s">
        <v>1156</v>
      </c>
      <c r="L2714" s="1" t="s">
        <v>1149</v>
      </c>
      <c r="M2714" s="1"/>
      <c r="N2714" s="1"/>
      <c r="O2714" s="1"/>
      <c r="P2714" s="6"/>
      <c r="Q2714" s="1"/>
      <c r="R2714" s="1"/>
      <c r="S2714" s="1"/>
      <c r="T2714" s="1"/>
      <c r="U2714" s="1"/>
      <c r="V2714" s="1"/>
      <c r="W2714" s="1"/>
      <c r="X2714" s="1"/>
      <c r="Y2714" s="1"/>
      <c r="Z2714" s="1"/>
    </row>
    <row r="2715" customFormat="false" ht="21.75" hidden="false" customHeight="true" outlineLevel="0" collapsed="false">
      <c r="A2715" s="4" t="n">
        <v>43501</v>
      </c>
      <c r="B2715" s="46" t="s">
        <v>1114</v>
      </c>
      <c r="C2715" s="46" t="s">
        <v>15</v>
      </c>
      <c r="D2715" s="46" t="s">
        <v>43</v>
      </c>
      <c r="E2715" s="46" t="s">
        <v>109</v>
      </c>
      <c r="F2715" s="46" t="s">
        <v>6296</v>
      </c>
      <c r="G2715" s="46" t="n">
        <f aca="false">+5930994788497</f>
        <v>5930994788497</v>
      </c>
      <c r="H2715" s="46" t="s">
        <v>6297</v>
      </c>
      <c r="I2715" s="46"/>
      <c r="J2715" s="1"/>
      <c r="K2715" s="1" t="s">
        <v>5344</v>
      </c>
      <c r="L2715" s="1"/>
      <c r="M2715" s="1"/>
      <c r="N2715" s="1"/>
      <c r="O2715" s="1"/>
      <c r="P2715" s="6"/>
      <c r="Q2715" s="1"/>
      <c r="R2715" s="1"/>
      <c r="S2715" s="1"/>
      <c r="T2715" s="1"/>
      <c r="U2715" s="1"/>
      <c r="V2715" s="1"/>
      <c r="W2715" s="1"/>
      <c r="X2715" s="1"/>
      <c r="Y2715" s="1"/>
      <c r="Z2715" s="1"/>
    </row>
    <row r="2716" customFormat="false" ht="21.75" hidden="false" customHeight="true" outlineLevel="0" collapsed="false">
      <c r="A2716" s="4" t="n">
        <v>43501</v>
      </c>
      <c r="B2716" s="46" t="s">
        <v>48</v>
      </c>
      <c r="C2716" s="46" t="s">
        <v>15</v>
      </c>
      <c r="D2716" s="46" t="s">
        <v>43</v>
      </c>
      <c r="E2716" s="46" t="s">
        <v>109</v>
      </c>
      <c r="F2716" s="46" t="s">
        <v>6298</v>
      </c>
      <c r="G2716" s="46" t="n">
        <f aca="false">+5930987286928</f>
        <v>5930987286928</v>
      </c>
      <c r="H2716" s="46" t="s">
        <v>6299</v>
      </c>
      <c r="I2716" s="46"/>
      <c r="J2716" s="1"/>
      <c r="K2716" s="1" t="s">
        <v>6300</v>
      </c>
      <c r="L2716" s="1"/>
      <c r="M2716" s="1"/>
      <c r="N2716" s="1"/>
      <c r="O2716" s="1"/>
      <c r="P2716" s="6"/>
      <c r="Q2716" s="1"/>
      <c r="R2716" s="1"/>
      <c r="S2716" s="1"/>
      <c r="T2716" s="1"/>
      <c r="U2716" s="1"/>
      <c r="V2716" s="1"/>
      <c r="W2716" s="1"/>
      <c r="X2716" s="1"/>
      <c r="Y2716" s="1"/>
      <c r="Z2716" s="1"/>
    </row>
    <row r="2717" customFormat="false" ht="21.75" hidden="false" customHeight="true" outlineLevel="0" collapsed="false">
      <c r="A2717" s="4" t="n">
        <v>43501</v>
      </c>
      <c r="B2717" s="46" t="s">
        <v>1114</v>
      </c>
      <c r="C2717" s="46" t="s">
        <v>15</v>
      </c>
      <c r="D2717" s="46" t="s">
        <v>43</v>
      </c>
      <c r="E2717" s="46" t="s">
        <v>109</v>
      </c>
      <c r="F2717" s="46" t="s">
        <v>6301</v>
      </c>
      <c r="G2717" s="46" t="n">
        <f aca="false">+593996416637</f>
        <v>593996416637</v>
      </c>
      <c r="H2717" s="46" t="s">
        <v>6302</v>
      </c>
      <c r="I2717" s="46"/>
      <c r="J2717" s="1"/>
      <c r="K2717" s="1" t="s">
        <v>6303</v>
      </c>
      <c r="L2717" s="1"/>
      <c r="M2717" s="1"/>
      <c r="N2717" s="1"/>
      <c r="O2717" s="1"/>
      <c r="P2717" s="6"/>
      <c r="Q2717" s="1"/>
      <c r="R2717" s="1"/>
      <c r="S2717" s="1"/>
      <c r="T2717" s="1"/>
      <c r="U2717" s="1"/>
      <c r="V2717" s="1"/>
      <c r="W2717" s="1"/>
      <c r="X2717" s="1"/>
      <c r="Y2717" s="1"/>
      <c r="Z2717" s="1"/>
    </row>
    <row r="2718" customFormat="false" ht="21.75" hidden="false" customHeight="true" outlineLevel="0" collapsed="false">
      <c r="A2718" s="4" t="n">
        <v>43501</v>
      </c>
      <c r="B2718" s="46" t="s">
        <v>48</v>
      </c>
      <c r="C2718" s="46" t="s">
        <v>15</v>
      </c>
      <c r="D2718" s="46" t="s">
        <v>43</v>
      </c>
      <c r="E2718" s="46" t="s">
        <v>109</v>
      </c>
      <c r="F2718" s="46" t="s">
        <v>6304</v>
      </c>
      <c r="G2718" s="46" t="n">
        <f aca="false">+5930986040701</f>
        <v>5930986040701</v>
      </c>
      <c r="H2718" s="46" t="s">
        <v>6305</v>
      </c>
      <c r="I2718" s="46"/>
      <c r="J2718" s="1"/>
      <c r="K2718" s="1" t="s">
        <v>1149</v>
      </c>
      <c r="L2718" s="1"/>
      <c r="M2718" s="1"/>
      <c r="N2718" s="1"/>
      <c r="O2718" s="1"/>
      <c r="P2718" s="6"/>
      <c r="Q2718" s="1"/>
      <c r="R2718" s="1"/>
      <c r="S2718" s="1"/>
      <c r="T2718" s="1"/>
      <c r="U2718" s="1"/>
      <c r="V2718" s="1"/>
      <c r="W2718" s="1"/>
      <c r="X2718" s="1"/>
      <c r="Y2718" s="1"/>
      <c r="Z2718" s="1"/>
    </row>
    <row r="2719" customFormat="false" ht="21.75" hidden="false" customHeight="true" outlineLevel="0" collapsed="false">
      <c r="A2719" s="4" t="n">
        <v>43501</v>
      </c>
      <c r="B2719" s="46" t="s">
        <v>352</v>
      </c>
      <c r="C2719" s="46" t="s">
        <v>15</v>
      </c>
      <c r="D2719" s="46" t="s">
        <v>43</v>
      </c>
      <c r="E2719" s="46" t="s">
        <v>109</v>
      </c>
      <c r="F2719" s="46" t="s">
        <v>6306</v>
      </c>
      <c r="G2719" s="46" t="n">
        <f aca="false">+593980050593</f>
        <v>593980050593</v>
      </c>
      <c r="H2719" s="46" t="s">
        <v>6307</v>
      </c>
      <c r="I2719" s="46"/>
      <c r="J2719" s="1"/>
      <c r="K2719" s="1" t="s">
        <v>1156</v>
      </c>
      <c r="L2719" s="1"/>
      <c r="M2719" s="1"/>
      <c r="N2719" s="1"/>
      <c r="O2719" s="1"/>
      <c r="P2719" s="6"/>
      <c r="Q2719" s="1"/>
      <c r="R2719" s="1"/>
      <c r="S2719" s="1"/>
      <c r="T2719" s="1"/>
      <c r="U2719" s="1"/>
      <c r="V2719" s="1"/>
      <c r="W2719" s="1"/>
      <c r="X2719" s="1"/>
      <c r="Y2719" s="1"/>
      <c r="Z2719" s="1"/>
    </row>
    <row r="2720" customFormat="false" ht="21.75" hidden="false" customHeight="true" outlineLevel="0" collapsed="false">
      <c r="A2720" s="4" t="n">
        <v>43501</v>
      </c>
      <c r="B2720" s="46" t="s">
        <v>127</v>
      </c>
      <c r="C2720" s="46" t="s">
        <v>15</v>
      </c>
      <c r="D2720" s="46" t="s">
        <v>43</v>
      </c>
      <c r="E2720" s="46" t="s">
        <v>109</v>
      </c>
      <c r="F2720" s="46" t="s">
        <v>6308</v>
      </c>
      <c r="G2720" s="46" t="n">
        <f aca="false">+593992163402</f>
        <v>593992163402</v>
      </c>
      <c r="H2720" s="46" t="s">
        <v>6309</v>
      </c>
      <c r="I2720" s="46"/>
      <c r="J2720" s="1"/>
      <c r="K2720" s="1" t="s">
        <v>6310</v>
      </c>
      <c r="L2720" s="1"/>
      <c r="M2720" s="1"/>
      <c r="N2720" s="1"/>
      <c r="O2720" s="1"/>
      <c r="P2720" s="6"/>
      <c r="Q2720" s="1"/>
      <c r="R2720" s="1"/>
      <c r="S2720" s="1"/>
      <c r="T2720" s="1"/>
      <c r="U2720" s="1"/>
      <c r="V2720" s="1"/>
      <c r="W2720" s="1"/>
      <c r="X2720" s="1"/>
      <c r="Y2720" s="1"/>
      <c r="Z2720" s="1"/>
    </row>
    <row r="2721" customFormat="false" ht="21.75" hidden="false" customHeight="true" outlineLevel="0" collapsed="false">
      <c r="A2721" s="4" t="n">
        <v>43501</v>
      </c>
      <c r="B2721" s="46" t="s">
        <v>1114</v>
      </c>
      <c r="C2721" s="46" t="s">
        <v>15</v>
      </c>
      <c r="D2721" s="46" t="s">
        <v>43</v>
      </c>
      <c r="E2721" s="46" t="s">
        <v>109</v>
      </c>
      <c r="F2721" s="46" t="s">
        <v>6311</v>
      </c>
      <c r="G2721" s="46" t="n">
        <f aca="false">+5930999670244</f>
        <v>5930999670244</v>
      </c>
      <c r="H2721" s="46" t="s">
        <v>6312</v>
      </c>
      <c r="I2721" s="46"/>
      <c r="J2721" s="1"/>
      <c r="K2721" s="1" t="s">
        <v>5481</v>
      </c>
      <c r="L2721" s="1"/>
      <c r="M2721" s="1"/>
      <c r="N2721" s="1"/>
      <c r="O2721" s="1"/>
      <c r="P2721" s="6"/>
      <c r="Q2721" s="1"/>
      <c r="R2721" s="1"/>
      <c r="S2721" s="1"/>
      <c r="T2721" s="1"/>
      <c r="U2721" s="1"/>
      <c r="V2721" s="1"/>
      <c r="W2721" s="1"/>
      <c r="X2721" s="1"/>
      <c r="Y2721" s="1"/>
      <c r="Z2721" s="1"/>
    </row>
    <row r="2722" customFormat="false" ht="21.75" hidden="false" customHeight="true" outlineLevel="0" collapsed="false">
      <c r="A2722" s="4" t="n">
        <v>43501</v>
      </c>
      <c r="B2722" s="46" t="s">
        <v>532</v>
      </c>
      <c r="C2722" s="46" t="s">
        <v>15</v>
      </c>
      <c r="D2722" s="46" t="s">
        <v>43</v>
      </c>
      <c r="E2722" s="46" t="s">
        <v>109</v>
      </c>
      <c r="F2722" s="46" t="s">
        <v>6313</v>
      </c>
      <c r="G2722" s="46" t="n">
        <f aca="false">+5930979383570</f>
        <v>5930979383570</v>
      </c>
      <c r="H2722" s="46" t="s">
        <v>6314</v>
      </c>
      <c r="I2722" s="46"/>
      <c r="J2722" s="1"/>
      <c r="K2722" s="1" t="s">
        <v>1156</v>
      </c>
      <c r="L2722" s="1"/>
      <c r="M2722" s="1"/>
      <c r="N2722" s="1"/>
      <c r="O2722" s="1"/>
      <c r="P2722" s="6"/>
      <c r="Q2722" s="1"/>
      <c r="R2722" s="1"/>
      <c r="S2722" s="1"/>
      <c r="T2722" s="1"/>
      <c r="U2722" s="1"/>
      <c r="V2722" s="1"/>
      <c r="W2722" s="1"/>
      <c r="X2722" s="1"/>
      <c r="Y2722" s="1"/>
      <c r="Z2722" s="1"/>
    </row>
    <row r="2723" customFormat="false" ht="21.75" hidden="false" customHeight="true" outlineLevel="0" collapsed="false">
      <c r="A2723" s="4" t="n">
        <v>43501</v>
      </c>
      <c r="B2723" s="46" t="s">
        <v>48</v>
      </c>
      <c r="C2723" s="46" t="s">
        <v>26</v>
      </c>
      <c r="D2723" s="46" t="s">
        <v>43</v>
      </c>
      <c r="E2723" s="46" t="s">
        <v>109</v>
      </c>
      <c r="F2723" s="46" t="s">
        <v>6315</v>
      </c>
      <c r="G2723" s="46" t="n">
        <f aca="false">+5930958890440</f>
        <v>5930958890440</v>
      </c>
      <c r="H2723" s="46" t="s">
        <v>6316</v>
      </c>
      <c r="I2723" s="46"/>
      <c r="J2723" s="1"/>
      <c r="K2723" s="1" t="s">
        <v>6317</v>
      </c>
      <c r="L2723" s="1"/>
      <c r="M2723" s="1"/>
      <c r="N2723" s="1"/>
      <c r="O2723" s="1"/>
      <c r="P2723" s="6"/>
      <c r="Q2723" s="1"/>
      <c r="R2723" s="1"/>
      <c r="S2723" s="1"/>
      <c r="T2723" s="1"/>
      <c r="U2723" s="1"/>
      <c r="V2723" s="1"/>
      <c r="W2723" s="1"/>
      <c r="X2723" s="1"/>
      <c r="Y2723" s="1"/>
      <c r="Z2723" s="1"/>
    </row>
    <row r="2724" customFormat="false" ht="21.75" hidden="false" customHeight="true" outlineLevel="0" collapsed="false">
      <c r="A2724" s="4" t="n">
        <v>43501</v>
      </c>
      <c r="B2724" s="46" t="s">
        <v>48</v>
      </c>
      <c r="C2724" s="46" t="s">
        <v>15</v>
      </c>
      <c r="D2724" s="46" t="s">
        <v>43</v>
      </c>
      <c r="E2724" s="46" t="s">
        <v>109</v>
      </c>
      <c r="F2724" s="46" t="s">
        <v>6318</v>
      </c>
      <c r="G2724" s="46" t="n">
        <f aca="false">+593978761048</f>
        <v>593978761048</v>
      </c>
      <c r="H2724" s="46" t="s">
        <v>6319</v>
      </c>
      <c r="I2724" s="46"/>
      <c r="J2724" s="1"/>
      <c r="K2724" s="1" t="s">
        <v>6320</v>
      </c>
      <c r="L2724" s="1"/>
      <c r="M2724" s="1"/>
      <c r="N2724" s="1"/>
      <c r="O2724" s="1"/>
      <c r="P2724" s="6"/>
      <c r="Q2724" s="1"/>
      <c r="R2724" s="1"/>
      <c r="S2724" s="1"/>
      <c r="T2724" s="1"/>
      <c r="U2724" s="1"/>
      <c r="V2724" s="1"/>
      <c r="W2724" s="1"/>
      <c r="X2724" s="1"/>
      <c r="Y2724" s="1"/>
      <c r="Z2724" s="1"/>
    </row>
    <row r="2725" customFormat="false" ht="21.75" hidden="false" customHeight="true" outlineLevel="0" collapsed="false">
      <c r="A2725" s="4" t="n">
        <v>43501</v>
      </c>
      <c r="B2725" s="46" t="s">
        <v>1114</v>
      </c>
      <c r="C2725" s="46" t="s">
        <v>15</v>
      </c>
      <c r="D2725" s="46" t="s">
        <v>43</v>
      </c>
      <c r="E2725" s="46" t="s">
        <v>109</v>
      </c>
      <c r="F2725" s="46" t="s">
        <v>6321</v>
      </c>
      <c r="G2725" s="46" t="n">
        <f aca="false">+593939140268</f>
        <v>593939140268</v>
      </c>
      <c r="H2725" s="46" t="s">
        <v>6322</v>
      </c>
      <c r="I2725" s="46"/>
      <c r="J2725" s="1"/>
      <c r="K2725" s="1" t="s">
        <v>6323</v>
      </c>
      <c r="L2725" s="1"/>
      <c r="M2725" s="1"/>
      <c r="N2725" s="1"/>
      <c r="O2725" s="1"/>
      <c r="P2725" s="6"/>
      <c r="Q2725" s="1"/>
      <c r="R2725" s="1"/>
      <c r="S2725" s="1"/>
      <c r="T2725" s="1"/>
      <c r="U2725" s="1"/>
      <c r="V2725" s="1"/>
      <c r="W2725" s="1"/>
      <c r="X2725" s="1"/>
      <c r="Y2725" s="1"/>
      <c r="Z2725" s="1"/>
    </row>
    <row r="2726" customFormat="false" ht="21.75" hidden="false" customHeight="true" outlineLevel="0" collapsed="false">
      <c r="A2726" s="4" t="n">
        <v>43501</v>
      </c>
      <c r="B2726" s="46" t="s">
        <v>48</v>
      </c>
      <c r="C2726" s="46" t="s">
        <v>15</v>
      </c>
      <c r="D2726" s="46" t="s">
        <v>43</v>
      </c>
      <c r="E2726" s="46" t="s">
        <v>109</v>
      </c>
      <c r="F2726" s="46" t="s">
        <v>6324</v>
      </c>
      <c r="G2726" s="46" t="n">
        <f aca="false">+593968638214</f>
        <v>593968638214</v>
      </c>
      <c r="H2726" s="46" t="s">
        <v>6325</v>
      </c>
      <c r="I2726" s="46"/>
      <c r="J2726" s="1"/>
      <c r="K2726" s="1" t="s">
        <v>6326</v>
      </c>
      <c r="L2726" s="1"/>
      <c r="M2726" s="1"/>
      <c r="N2726" s="1"/>
      <c r="O2726" s="1"/>
      <c r="P2726" s="6"/>
      <c r="Q2726" s="1"/>
      <c r="R2726" s="1"/>
      <c r="S2726" s="1"/>
      <c r="T2726" s="1"/>
      <c r="U2726" s="1"/>
      <c r="V2726" s="1"/>
      <c r="W2726" s="1"/>
      <c r="X2726" s="1"/>
      <c r="Y2726" s="1"/>
      <c r="Z2726" s="1"/>
    </row>
    <row r="2727" customFormat="false" ht="21.75" hidden="false" customHeight="true" outlineLevel="0" collapsed="false">
      <c r="A2727" s="4" t="n">
        <v>43501</v>
      </c>
      <c r="B2727" s="46" t="s">
        <v>48</v>
      </c>
      <c r="C2727" s="46" t="s">
        <v>15</v>
      </c>
      <c r="D2727" s="46" t="s">
        <v>43</v>
      </c>
      <c r="E2727" s="46" t="s">
        <v>109</v>
      </c>
      <c r="F2727" s="46" t="s">
        <v>6327</v>
      </c>
      <c r="G2727" s="46" t="n">
        <f aca="false">+5930939542256</f>
        <v>5930939542256</v>
      </c>
      <c r="H2727" s="46" t="s">
        <v>6328</v>
      </c>
      <c r="I2727" s="46"/>
      <c r="J2727" s="1"/>
      <c r="K2727" s="1" t="s">
        <v>1149</v>
      </c>
      <c r="L2727" s="1" t="s">
        <v>21</v>
      </c>
      <c r="M2727" s="1"/>
      <c r="N2727" s="1"/>
      <c r="O2727" s="1"/>
      <c r="P2727" s="6"/>
      <c r="Q2727" s="1"/>
      <c r="R2727" s="1"/>
      <c r="S2727" s="1"/>
      <c r="T2727" s="1"/>
      <c r="U2727" s="1"/>
      <c r="V2727" s="1"/>
      <c r="W2727" s="1"/>
      <c r="X2727" s="1"/>
      <c r="Y2727" s="1"/>
      <c r="Z2727" s="1"/>
    </row>
    <row r="2728" customFormat="false" ht="21.75" hidden="false" customHeight="true" outlineLevel="0" collapsed="false">
      <c r="A2728" s="4" t="n">
        <v>43501</v>
      </c>
      <c r="B2728" s="46" t="s">
        <v>415</v>
      </c>
      <c r="C2728" s="46" t="s">
        <v>15</v>
      </c>
      <c r="D2728" s="46" t="s">
        <v>43</v>
      </c>
      <c r="E2728" s="46" t="s">
        <v>109</v>
      </c>
      <c r="F2728" s="46" t="s">
        <v>6329</v>
      </c>
      <c r="G2728" s="46" t="n">
        <f aca="false">+593981456100</f>
        <v>593981456100</v>
      </c>
      <c r="H2728" s="46" t="s">
        <v>6330</v>
      </c>
      <c r="I2728" s="46"/>
      <c r="J2728" s="1"/>
      <c r="K2728" s="1" t="s">
        <v>6331</v>
      </c>
      <c r="L2728" s="1"/>
      <c r="M2728" s="1"/>
      <c r="N2728" s="1"/>
      <c r="O2728" s="1"/>
      <c r="P2728" s="6"/>
      <c r="Q2728" s="1"/>
      <c r="R2728" s="1"/>
      <c r="S2728" s="1"/>
      <c r="T2728" s="1"/>
      <c r="U2728" s="1"/>
      <c r="V2728" s="1"/>
      <c r="W2728" s="1"/>
      <c r="X2728" s="1"/>
      <c r="Y2728" s="1"/>
      <c r="Z2728" s="1"/>
    </row>
    <row r="2729" customFormat="false" ht="21.75" hidden="false" customHeight="true" outlineLevel="0" collapsed="false">
      <c r="A2729" s="4" t="n">
        <v>43501</v>
      </c>
      <c r="B2729" s="46" t="s">
        <v>48</v>
      </c>
      <c r="C2729" s="46" t="s">
        <v>15</v>
      </c>
      <c r="D2729" s="46" t="s">
        <v>43</v>
      </c>
      <c r="E2729" s="46" t="s">
        <v>883</v>
      </c>
      <c r="F2729" s="46" t="s">
        <v>6332</v>
      </c>
      <c r="G2729" s="46" t="n">
        <f aca="false">+5930980653874</f>
        <v>5930980653874</v>
      </c>
      <c r="H2729" s="46" t="s">
        <v>6333</v>
      </c>
      <c r="I2729" s="46"/>
      <c r="J2729" s="1"/>
      <c r="K2729" s="1" t="s">
        <v>6334</v>
      </c>
      <c r="L2729" s="1"/>
      <c r="M2729" s="1"/>
      <c r="N2729" s="1"/>
      <c r="O2729" s="1"/>
      <c r="P2729" s="6"/>
      <c r="Q2729" s="1"/>
      <c r="R2729" s="1"/>
      <c r="S2729" s="1"/>
      <c r="T2729" s="1"/>
      <c r="U2729" s="1"/>
      <c r="V2729" s="1"/>
      <c r="W2729" s="1"/>
      <c r="X2729" s="1"/>
      <c r="Y2729" s="1"/>
      <c r="Z2729" s="1"/>
    </row>
    <row r="2730" customFormat="false" ht="21.75" hidden="false" customHeight="true" outlineLevel="0" collapsed="false">
      <c r="A2730" s="4" t="n">
        <v>43501</v>
      </c>
      <c r="B2730" s="46" t="s">
        <v>178</v>
      </c>
      <c r="C2730" s="46" t="s">
        <v>15</v>
      </c>
      <c r="D2730" s="46" t="s">
        <v>43</v>
      </c>
      <c r="E2730" s="46" t="s">
        <v>883</v>
      </c>
      <c r="F2730" s="46" t="s">
        <v>6335</v>
      </c>
      <c r="G2730" s="46" t="n">
        <f aca="false">+593991555307</f>
        <v>593991555307</v>
      </c>
      <c r="H2730" s="46" t="s">
        <v>6336</v>
      </c>
      <c r="I2730" s="46"/>
      <c r="J2730" s="1"/>
      <c r="K2730" s="1" t="s">
        <v>1156</v>
      </c>
      <c r="L2730" s="1" t="s">
        <v>21</v>
      </c>
      <c r="M2730" s="1"/>
      <c r="N2730" s="1"/>
      <c r="O2730" s="1"/>
      <c r="P2730" s="6"/>
      <c r="Q2730" s="1"/>
      <c r="R2730" s="1"/>
      <c r="S2730" s="1"/>
      <c r="T2730" s="1"/>
      <c r="U2730" s="1"/>
      <c r="V2730" s="1"/>
      <c r="W2730" s="1"/>
      <c r="X2730" s="1"/>
      <c r="Y2730" s="1"/>
      <c r="Z2730" s="1"/>
    </row>
    <row r="2731" customFormat="false" ht="21.75" hidden="false" customHeight="true" outlineLevel="0" collapsed="false">
      <c r="A2731" s="4" t="n">
        <v>43501</v>
      </c>
      <c r="B2731" s="46" t="s">
        <v>352</v>
      </c>
      <c r="C2731" s="46" t="s">
        <v>15</v>
      </c>
      <c r="D2731" s="46" t="s">
        <v>43</v>
      </c>
      <c r="E2731" s="46" t="s">
        <v>883</v>
      </c>
      <c r="F2731" s="46" t="s">
        <v>6337</v>
      </c>
      <c r="G2731" s="46" t="n">
        <f aca="false">+593997989677</f>
        <v>593997989677</v>
      </c>
      <c r="H2731" s="46" t="s">
        <v>6338</v>
      </c>
      <c r="I2731" s="46"/>
      <c r="J2731" s="1"/>
      <c r="K2731" s="1" t="s">
        <v>6339</v>
      </c>
      <c r="L2731" s="1"/>
      <c r="M2731" s="1"/>
      <c r="N2731" s="1"/>
      <c r="O2731" s="1"/>
      <c r="P2731" s="6"/>
      <c r="Q2731" s="1"/>
      <c r="R2731" s="1"/>
      <c r="S2731" s="1"/>
      <c r="T2731" s="1"/>
      <c r="U2731" s="1"/>
      <c r="V2731" s="1"/>
      <c r="W2731" s="1"/>
      <c r="X2731" s="1"/>
      <c r="Y2731" s="1"/>
      <c r="Z2731" s="1"/>
    </row>
    <row r="2732" customFormat="false" ht="21.75" hidden="false" customHeight="true" outlineLevel="0" collapsed="false">
      <c r="A2732" s="4" t="n">
        <v>43501</v>
      </c>
      <c r="B2732" s="46" t="s">
        <v>415</v>
      </c>
      <c r="C2732" s="46" t="s">
        <v>26</v>
      </c>
      <c r="D2732" s="46" t="s">
        <v>43</v>
      </c>
      <c r="E2732" s="46" t="s">
        <v>883</v>
      </c>
      <c r="F2732" s="46" t="s">
        <v>6340</v>
      </c>
      <c r="G2732" s="46" t="n">
        <f aca="false">+593939192704</f>
        <v>593939192704</v>
      </c>
      <c r="H2732" s="46" t="s">
        <v>6341</v>
      </c>
      <c r="I2732" s="46"/>
      <c r="J2732" s="1"/>
      <c r="K2732" s="1" t="s">
        <v>1156</v>
      </c>
      <c r="L2732" s="1" t="s">
        <v>6342</v>
      </c>
      <c r="M2732" s="1"/>
      <c r="N2732" s="1"/>
      <c r="O2732" s="1"/>
      <c r="P2732" s="6"/>
      <c r="Q2732" s="1"/>
      <c r="R2732" s="1"/>
      <c r="S2732" s="1"/>
      <c r="T2732" s="1"/>
      <c r="U2732" s="1"/>
      <c r="V2732" s="1"/>
      <c r="W2732" s="1"/>
      <c r="X2732" s="1"/>
      <c r="Y2732" s="1"/>
      <c r="Z2732" s="1"/>
    </row>
    <row r="2733" customFormat="false" ht="21.75" hidden="false" customHeight="true" outlineLevel="0" collapsed="false">
      <c r="A2733" s="4" t="n">
        <v>43501</v>
      </c>
      <c r="B2733" s="46" t="s">
        <v>352</v>
      </c>
      <c r="C2733" s="46" t="s">
        <v>15</v>
      </c>
      <c r="D2733" s="46" t="s">
        <v>43</v>
      </c>
      <c r="E2733" s="46" t="s">
        <v>883</v>
      </c>
      <c r="F2733" s="46" t="s">
        <v>6343</v>
      </c>
      <c r="G2733" s="46" t="n">
        <f aca="false">+593967256230</f>
        <v>593967256230</v>
      </c>
      <c r="H2733" s="46" t="s">
        <v>6344</v>
      </c>
      <c r="I2733" s="46"/>
      <c r="J2733" s="1"/>
      <c r="K2733" s="1" t="s">
        <v>6345</v>
      </c>
      <c r="L2733" s="1"/>
      <c r="M2733" s="1"/>
      <c r="N2733" s="1"/>
      <c r="O2733" s="1"/>
      <c r="P2733" s="6"/>
      <c r="Q2733" s="1"/>
      <c r="R2733" s="1"/>
      <c r="S2733" s="1"/>
      <c r="T2733" s="1"/>
      <c r="U2733" s="1"/>
      <c r="V2733" s="1"/>
      <c r="W2733" s="1"/>
      <c r="X2733" s="1"/>
      <c r="Y2733" s="1"/>
      <c r="Z2733" s="1"/>
    </row>
    <row r="2734" customFormat="false" ht="21.75" hidden="false" customHeight="true" outlineLevel="0" collapsed="false">
      <c r="A2734" s="4" t="n">
        <v>43501</v>
      </c>
      <c r="B2734" s="46" t="s">
        <v>1114</v>
      </c>
      <c r="C2734" s="46" t="s">
        <v>15</v>
      </c>
      <c r="D2734" s="46" t="s">
        <v>43</v>
      </c>
      <c r="E2734" s="46" t="s">
        <v>883</v>
      </c>
      <c r="F2734" s="46" t="s">
        <v>6346</v>
      </c>
      <c r="G2734" s="46" t="n">
        <f aca="false">+593986848794</f>
        <v>593986848794</v>
      </c>
      <c r="H2734" s="46" t="s">
        <v>6347</v>
      </c>
      <c r="I2734" s="46"/>
      <c r="J2734" s="1"/>
      <c r="K2734" s="1" t="s">
        <v>5344</v>
      </c>
      <c r="L2734" s="1"/>
      <c r="M2734" s="1"/>
      <c r="N2734" s="1"/>
      <c r="O2734" s="1"/>
      <c r="P2734" s="6"/>
      <c r="Q2734" s="1"/>
      <c r="R2734" s="1"/>
      <c r="S2734" s="1"/>
      <c r="T2734" s="1"/>
      <c r="U2734" s="1"/>
      <c r="V2734" s="1"/>
      <c r="W2734" s="1"/>
      <c r="X2734" s="1"/>
      <c r="Y2734" s="1"/>
      <c r="Z2734" s="1"/>
    </row>
    <row r="2735" customFormat="false" ht="21.75" hidden="false" customHeight="true" outlineLevel="0" collapsed="false">
      <c r="A2735" s="4" t="n">
        <v>43501</v>
      </c>
      <c r="B2735" s="46" t="s">
        <v>178</v>
      </c>
      <c r="C2735" s="46" t="s">
        <v>15</v>
      </c>
      <c r="D2735" s="46" t="s">
        <v>43</v>
      </c>
      <c r="E2735" s="46" t="s">
        <v>883</v>
      </c>
      <c r="F2735" s="46" t="s">
        <v>6348</v>
      </c>
      <c r="G2735" s="46" t="n">
        <f aca="false">+5930979569688</f>
        <v>5930979569688</v>
      </c>
      <c r="H2735" s="46" t="s">
        <v>6349</v>
      </c>
      <c r="I2735" s="46"/>
      <c r="J2735" s="1"/>
      <c r="K2735" s="1" t="s">
        <v>6350</v>
      </c>
      <c r="L2735" s="1"/>
      <c r="M2735" s="1"/>
      <c r="N2735" s="1"/>
      <c r="O2735" s="1"/>
      <c r="P2735" s="6"/>
      <c r="Q2735" s="1"/>
      <c r="R2735" s="1"/>
      <c r="S2735" s="1"/>
      <c r="T2735" s="1"/>
      <c r="U2735" s="1"/>
      <c r="V2735" s="1"/>
      <c r="W2735" s="1"/>
      <c r="X2735" s="1"/>
      <c r="Y2735" s="1"/>
      <c r="Z2735" s="1"/>
    </row>
    <row r="2736" customFormat="false" ht="21.75" hidden="false" customHeight="true" outlineLevel="0" collapsed="false">
      <c r="A2736" s="4" t="n">
        <v>43501</v>
      </c>
      <c r="B2736" s="46" t="s">
        <v>178</v>
      </c>
      <c r="C2736" s="46" t="s">
        <v>15</v>
      </c>
      <c r="D2736" s="46" t="s">
        <v>43</v>
      </c>
      <c r="E2736" s="46" t="s">
        <v>883</v>
      </c>
      <c r="F2736" s="46" t="s">
        <v>6351</v>
      </c>
      <c r="G2736" s="46" t="n">
        <f aca="false">+593967640059</f>
        <v>593967640059</v>
      </c>
      <c r="H2736" s="46" t="s">
        <v>6352</v>
      </c>
      <c r="I2736" s="46"/>
      <c r="J2736" s="1"/>
      <c r="K2736" s="1" t="s">
        <v>6353</v>
      </c>
      <c r="L2736" s="1"/>
      <c r="M2736" s="1"/>
      <c r="N2736" s="1"/>
      <c r="O2736" s="1"/>
      <c r="P2736" s="6"/>
      <c r="Q2736" s="1"/>
      <c r="R2736" s="1"/>
      <c r="S2736" s="1"/>
      <c r="T2736" s="1"/>
      <c r="U2736" s="1"/>
      <c r="V2736" s="1"/>
      <c r="W2736" s="1"/>
      <c r="X2736" s="1"/>
      <c r="Y2736" s="1"/>
      <c r="Z2736" s="1"/>
    </row>
    <row r="2737" customFormat="false" ht="21.75" hidden="false" customHeight="true" outlineLevel="0" collapsed="false">
      <c r="A2737" s="4" t="n">
        <v>43501</v>
      </c>
      <c r="B2737" s="46" t="s">
        <v>1114</v>
      </c>
      <c r="C2737" s="46" t="s">
        <v>15</v>
      </c>
      <c r="D2737" s="46" t="s">
        <v>43</v>
      </c>
      <c r="E2737" s="46" t="s">
        <v>883</v>
      </c>
      <c r="F2737" s="46" t="s">
        <v>6354</v>
      </c>
      <c r="G2737" s="46" t="n">
        <f aca="false">+5930979095153</f>
        <v>5930979095153</v>
      </c>
      <c r="H2737" s="46" t="s">
        <v>6355</v>
      </c>
      <c r="I2737" s="46"/>
      <c r="J2737" s="1"/>
      <c r="K2737" s="1" t="s">
        <v>6356</v>
      </c>
      <c r="L2737" s="1"/>
      <c r="M2737" s="1"/>
      <c r="N2737" s="1"/>
      <c r="O2737" s="1"/>
      <c r="P2737" s="6"/>
      <c r="Q2737" s="1"/>
      <c r="R2737" s="1"/>
      <c r="S2737" s="1"/>
      <c r="T2737" s="1"/>
      <c r="U2737" s="1"/>
      <c r="V2737" s="1"/>
      <c r="W2737" s="1"/>
      <c r="X2737" s="1"/>
      <c r="Y2737" s="1"/>
      <c r="Z2737" s="1"/>
    </row>
    <row r="2738" customFormat="false" ht="21.75" hidden="false" customHeight="true" outlineLevel="0" collapsed="false">
      <c r="A2738" s="4" t="n">
        <v>43501</v>
      </c>
      <c r="B2738" s="46" t="s">
        <v>48</v>
      </c>
      <c r="C2738" s="46" t="s">
        <v>15</v>
      </c>
      <c r="D2738" s="46" t="s">
        <v>43</v>
      </c>
      <c r="E2738" s="46" t="s">
        <v>883</v>
      </c>
      <c r="F2738" s="46" t="s">
        <v>6357</v>
      </c>
      <c r="G2738" s="46" t="n">
        <f aca="false">+593959207442</f>
        <v>593959207442</v>
      </c>
      <c r="H2738" s="46" t="s">
        <v>6358</v>
      </c>
      <c r="I2738" s="46"/>
      <c r="J2738" s="1"/>
      <c r="K2738" s="1" t="s">
        <v>6359</v>
      </c>
      <c r="L2738" s="1"/>
      <c r="M2738" s="1"/>
      <c r="N2738" s="1"/>
      <c r="O2738" s="1"/>
      <c r="P2738" s="6"/>
      <c r="Q2738" s="1"/>
      <c r="R2738" s="1"/>
      <c r="S2738" s="1"/>
      <c r="T2738" s="1"/>
      <c r="U2738" s="1"/>
      <c r="V2738" s="1"/>
      <c r="W2738" s="1"/>
      <c r="X2738" s="1"/>
      <c r="Y2738" s="1"/>
      <c r="Z2738" s="1"/>
    </row>
    <row r="2739" customFormat="false" ht="21.75" hidden="false" customHeight="true" outlineLevel="0" collapsed="false">
      <c r="A2739" s="4" t="n">
        <v>43501</v>
      </c>
      <c r="B2739" s="46" t="s">
        <v>48</v>
      </c>
      <c r="C2739" s="46" t="s">
        <v>15</v>
      </c>
      <c r="D2739" s="46" t="s">
        <v>43</v>
      </c>
      <c r="E2739" s="46" t="s">
        <v>883</v>
      </c>
      <c r="F2739" s="46" t="s">
        <v>6360</v>
      </c>
      <c r="G2739" s="46" t="n">
        <f aca="false">+593997874102</f>
        <v>593997874102</v>
      </c>
      <c r="H2739" s="46" t="s">
        <v>6361</v>
      </c>
      <c r="I2739" s="46"/>
      <c r="J2739" s="1"/>
      <c r="K2739" s="1" t="s">
        <v>1156</v>
      </c>
      <c r="L2739" s="1"/>
      <c r="M2739" s="1"/>
      <c r="N2739" s="1"/>
      <c r="O2739" s="1"/>
      <c r="P2739" s="6"/>
      <c r="Q2739" s="1"/>
      <c r="R2739" s="1"/>
      <c r="S2739" s="1"/>
      <c r="T2739" s="1"/>
      <c r="U2739" s="1"/>
      <c r="V2739" s="1"/>
      <c r="W2739" s="1"/>
      <c r="X2739" s="1"/>
      <c r="Y2739" s="1"/>
      <c r="Z2739" s="1"/>
    </row>
    <row r="2740" customFormat="false" ht="21.75" hidden="false" customHeight="true" outlineLevel="0" collapsed="false">
      <c r="A2740" s="4" t="n">
        <v>43501</v>
      </c>
      <c r="B2740" s="46" t="s">
        <v>127</v>
      </c>
      <c r="C2740" s="46" t="s">
        <v>15</v>
      </c>
      <c r="D2740" s="46" t="s">
        <v>43</v>
      </c>
      <c r="E2740" s="46" t="s">
        <v>883</v>
      </c>
      <c r="F2740" s="46" t="s">
        <v>6362</v>
      </c>
      <c r="G2740" s="46" t="n">
        <f aca="false">+593982618372</f>
        <v>593982618372</v>
      </c>
      <c r="H2740" s="46" t="s">
        <v>6363</v>
      </c>
      <c r="I2740" s="46"/>
      <c r="J2740" s="1"/>
      <c r="K2740" s="1" t="s">
        <v>1156</v>
      </c>
      <c r="L2740" s="1"/>
      <c r="M2740" s="1"/>
      <c r="N2740" s="1"/>
      <c r="O2740" s="1"/>
      <c r="P2740" s="6"/>
      <c r="Q2740" s="1"/>
      <c r="R2740" s="1"/>
      <c r="S2740" s="1"/>
      <c r="T2740" s="1"/>
      <c r="U2740" s="1"/>
      <c r="V2740" s="1"/>
      <c r="W2740" s="1"/>
      <c r="X2740" s="1"/>
      <c r="Y2740" s="1"/>
      <c r="Z2740" s="1"/>
    </row>
    <row r="2741" customFormat="false" ht="21.75" hidden="false" customHeight="true" outlineLevel="0" collapsed="false">
      <c r="A2741" s="4" t="n">
        <v>43501</v>
      </c>
      <c r="B2741" s="46" t="s">
        <v>352</v>
      </c>
      <c r="C2741" s="46" t="s">
        <v>15</v>
      </c>
      <c r="D2741" s="46" t="s">
        <v>43</v>
      </c>
      <c r="E2741" s="46" t="s">
        <v>883</v>
      </c>
      <c r="F2741" s="46" t="s">
        <v>6364</v>
      </c>
      <c r="G2741" s="46" t="n">
        <f aca="false">+593999354816</f>
        <v>593999354816</v>
      </c>
      <c r="H2741" s="46" t="s">
        <v>6365</v>
      </c>
      <c r="I2741" s="46"/>
      <c r="J2741" s="1"/>
      <c r="K2741" s="1" t="s">
        <v>6366</v>
      </c>
      <c r="L2741" s="1"/>
      <c r="M2741" s="1"/>
      <c r="N2741" s="1"/>
      <c r="O2741" s="1"/>
      <c r="P2741" s="6"/>
      <c r="Q2741" s="1"/>
      <c r="R2741" s="1"/>
      <c r="S2741" s="1"/>
      <c r="T2741" s="1"/>
      <c r="U2741" s="1"/>
      <c r="V2741" s="1"/>
      <c r="W2741" s="1"/>
      <c r="X2741" s="1"/>
      <c r="Y2741" s="1"/>
      <c r="Z2741" s="1"/>
    </row>
    <row r="2742" customFormat="false" ht="21.75" hidden="false" customHeight="true" outlineLevel="0" collapsed="false">
      <c r="A2742" s="4" t="n">
        <v>43501</v>
      </c>
      <c r="B2742" s="46" t="s">
        <v>48</v>
      </c>
      <c r="C2742" s="46" t="s">
        <v>15</v>
      </c>
      <c r="D2742" s="46" t="s">
        <v>43</v>
      </c>
      <c r="E2742" s="46" t="s">
        <v>883</v>
      </c>
      <c r="F2742" s="46" t="s">
        <v>6367</v>
      </c>
      <c r="G2742" s="46" t="n">
        <f aca="false">+593978627649</f>
        <v>593978627649</v>
      </c>
      <c r="H2742" s="46" t="s">
        <v>6368</v>
      </c>
      <c r="I2742" s="46"/>
      <c r="J2742" s="1"/>
      <c r="K2742" s="1" t="s">
        <v>1156</v>
      </c>
      <c r="L2742" s="1"/>
      <c r="M2742" s="1"/>
      <c r="N2742" s="1"/>
      <c r="O2742" s="1"/>
      <c r="P2742" s="6"/>
      <c r="Q2742" s="1"/>
      <c r="R2742" s="1"/>
      <c r="S2742" s="1"/>
      <c r="T2742" s="1"/>
      <c r="U2742" s="1"/>
      <c r="V2742" s="1"/>
      <c r="W2742" s="1"/>
      <c r="X2742" s="1"/>
      <c r="Y2742" s="1"/>
      <c r="Z2742" s="1"/>
    </row>
    <row r="2743" customFormat="false" ht="21.75" hidden="false" customHeight="true" outlineLevel="0" collapsed="false">
      <c r="A2743" s="4" t="n">
        <v>43501</v>
      </c>
      <c r="B2743" s="46" t="s">
        <v>48</v>
      </c>
      <c r="C2743" s="46" t="s">
        <v>15</v>
      </c>
      <c r="D2743" s="46" t="s">
        <v>43</v>
      </c>
      <c r="E2743" s="46" t="s">
        <v>883</v>
      </c>
      <c r="F2743" s="46" t="s">
        <v>6369</v>
      </c>
      <c r="G2743" s="46" t="n">
        <f aca="false">+593985634130</f>
        <v>593985634130</v>
      </c>
      <c r="H2743" s="46" t="s">
        <v>6370</v>
      </c>
      <c r="I2743" s="46"/>
      <c r="J2743" s="1"/>
      <c r="K2743" s="1" t="s">
        <v>6371</v>
      </c>
      <c r="L2743" s="1"/>
      <c r="M2743" s="1"/>
      <c r="N2743" s="1"/>
      <c r="O2743" s="1"/>
      <c r="P2743" s="6"/>
      <c r="Q2743" s="1"/>
      <c r="R2743" s="1"/>
      <c r="S2743" s="1"/>
      <c r="T2743" s="1"/>
      <c r="U2743" s="1"/>
      <c r="V2743" s="1"/>
      <c r="W2743" s="1"/>
      <c r="X2743" s="1"/>
      <c r="Y2743" s="1"/>
      <c r="Z2743" s="1"/>
    </row>
    <row r="2744" customFormat="false" ht="21.75" hidden="false" customHeight="true" outlineLevel="0" collapsed="false">
      <c r="A2744" s="4" t="n">
        <v>43501</v>
      </c>
      <c r="B2744" s="53" t="s">
        <v>48</v>
      </c>
      <c r="C2744" s="46" t="s">
        <v>15</v>
      </c>
      <c r="D2744" s="46" t="s">
        <v>43</v>
      </c>
      <c r="E2744" s="46" t="s">
        <v>44</v>
      </c>
      <c r="F2744" s="46" t="s">
        <v>6372</v>
      </c>
      <c r="G2744" s="46" t="n">
        <f aca="false">+593980748843</f>
        <v>593980748843</v>
      </c>
      <c r="H2744" s="46" t="s">
        <v>6373</v>
      </c>
      <c r="I2744" s="46"/>
      <c r="J2744" s="1"/>
      <c r="K2744" s="1" t="s">
        <v>6374</v>
      </c>
      <c r="L2744" s="1"/>
      <c r="M2744" s="1"/>
      <c r="N2744" s="1"/>
      <c r="O2744" s="1"/>
      <c r="P2744" s="6"/>
      <c r="Q2744" s="1"/>
      <c r="R2744" s="1"/>
      <c r="S2744" s="1"/>
      <c r="T2744" s="1"/>
      <c r="U2744" s="1"/>
      <c r="V2744" s="1"/>
      <c r="W2744" s="1"/>
      <c r="X2744" s="1"/>
      <c r="Y2744" s="1"/>
      <c r="Z2744" s="1"/>
    </row>
    <row r="2745" customFormat="false" ht="21.75" hidden="false" customHeight="true" outlineLevel="0" collapsed="false">
      <c r="A2745" s="4" t="n">
        <v>43501</v>
      </c>
      <c r="B2745" s="53" t="s">
        <v>48</v>
      </c>
      <c r="C2745" s="46" t="s">
        <v>15</v>
      </c>
      <c r="D2745" s="46" t="s">
        <v>43</v>
      </c>
      <c r="E2745" s="46" t="s">
        <v>44</v>
      </c>
      <c r="F2745" s="46" t="s">
        <v>6375</v>
      </c>
      <c r="G2745" s="46" t="n">
        <f aca="false">+5930992268082</f>
        <v>5930992268082</v>
      </c>
      <c r="H2745" s="46" t="s">
        <v>6376</v>
      </c>
      <c r="I2745" s="46"/>
      <c r="J2745" s="1"/>
      <c r="K2745" s="1" t="s">
        <v>6377</v>
      </c>
      <c r="L2745" s="1"/>
      <c r="M2745" s="1"/>
      <c r="N2745" s="1"/>
      <c r="O2745" s="1"/>
      <c r="P2745" s="6"/>
      <c r="Q2745" s="1"/>
      <c r="R2745" s="1"/>
      <c r="S2745" s="1"/>
      <c r="T2745" s="1"/>
      <c r="U2745" s="1"/>
      <c r="V2745" s="1"/>
      <c r="W2745" s="1"/>
      <c r="X2745" s="1"/>
      <c r="Y2745" s="1"/>
      <c r="Z2745" s="1"/>
    </row>
    <row r="2746" customFormat="false" ht="21.75" hidden="false" customHeight="true" outlineLevel="0" collapsed="false">
      <c r="A2746" s="4" t="n">
        <v>43501</v>
      </c>
      <c r="B2746" s="53" t="s">
        <v>48</v>
      </c>
      <c r="C2746" s="46" t="s">
        <v>15</v>
      </c>
      <c r="D2746" s="46" t="s">
        <v>43</v>
      </c>
      <c r="E2746" s="46" t="s">
        <v>44</v>
      </c>
      <c r="F2746" s="46" t="s">
        <v>6378</v>
      </c>
      <c r="G2746" s="46" t="n">
        <f aca="false">+59362881832</f>
        <v>59362881832</v>
      </c>
      <c r="H2746" s="46" t="s">
        <v>6379</v>
      </c>
      <c r="I2746" s="46"/>
      <c r="J2746" s="1"/>
      <c r="K2746" s="1" t="s">
        <v>1156</v>
      </c>
      <c r="L2746" s="1" t="s">
        <v>21</v>
      </c>
      <c r="M2746" s="1"/>
      <c r="N2746" s="1"/>
      <c r="O2746" s="1"/>
      <c r="P2746" s="6"/>
      <c r="Q2746" s="1"/>
      <c r="R2746" s="1"/>
      <c r="S2746" s="1"/>
      <c r="T2746" s="1"/>
      <c r="U2746" s="1"/>
      <c r="V2746" s="1"/>
      <c r="W2746" s="1"/>
      <c r="X2746" s="1"/>
      <c r="Y2746" s="1"/>
      <c r="Z2746" s="1"/>
    </row>
    <row r="2747" customFormat="false" ht="21.75" hidden="false" customHeight="true" outlineLevel="0" collapsed="false">
      <c r="A2747" s="4" t="n">
        <v>43501</v>
      </c>
      <c r="B2747" s="53" t="s">
        <v>48</v>
      </c>
      <c r="C2747" s="46" t="s">
        <v>15</v>
      </c>
      <c r="D2747" s="46" t="s">
        <v>43</v>
      </c>
      <c r="E2747" s="46" t="s">
        <v>44</v>
      </c>
      <c r="F2747" s="46" t="s">
        <v>6380</v>
      </c>
      <c r="G2747" s="46" t="n">
        <f aca="false">+593984378142</f>
        <v>593984378142</v>
      </c>
      <c r="H2747" s="46" t="s">
        <v>6381</v>
      </c>
      <c r="I2747" s="46"/>
      <c r="J2747" s="1"/>
      <c r="K2747" s="11" t="s">
        <v>1149</v>
      </c>
      <c r="L2747" s="1" t="s">
        <v>21</v>
      </c>
      <c r="M2747" s="1"/>
      <c r="N2747" s="1"/>
      <c r="O2747" s="1"/>
      <c r="P2747" s="6"/>
      <c r="Q2747" s="1"/>
      <c r="R2747" s="1"/>
      <c r="S2747" s="1"/>
      <c r="T2747" s="1"/>
      <c r="U2747" s="1"/>
      <c r="V2747" s="1"/>
      <c r="W2747" s="1"/>
      <c r="X2747" s="1"/>
      <c r="Y2747" s="1"/>
      <c r="Z2747" s="1"/>
    </row>
    <row r="2748" customFormat="false" ht="21.75" hidden="false" customHeight="true" outlineLevel="0" collapsed="false">
      <c r="A2748" s="4" t="n">
        <v>43501</v>
      </c>
      <c r="B2748" s="53" t="s">
        <v>48</v>
      </c>
      <c r="C2748" s="46" t="s">
        <v>15</v>
      </c>
      <c r="D2748" s="46" t="s">
        <v>43</v>
      </c>
      <c r="E2748" s="46" t="s">
        <v>44</v>
      </c>
      <c r="F2748" s="46" t="s">
        <v>6382</v>
      </c>
      <c r="G2748" s="46" t="n">
        <f aca="false">+593968155303</f>
        <v>593968155303</v>
      </c>
      <c r="H2748" s="46" t="s">
        <v>6383</v>
      </c>
      <c r="I2748" s="46"/>
      <c r="J2748" s="1"/>
      <c r="K2748" s="1" t="s">
        <v>5344</v>
      </c>
      <c r="L2748" s="1"/>
      <c r="M2748" s="1"/>
      <c r="N2748" s="1"/>
      <c r="O2748" s="1"/>
      <c r="P2748" s="6"/>
      <c r="Q2748" s="1"/>
      <c r="R2748" s="1"/>
      <c r="S2748" s="1"/>
      <c r="T2748" s="1"/>
      <c r="U2748" s="1"/>
      <c r="V2748" s="1"/>
      <c r="W2748" s="1"/>
      <c r="X2748" s="1"/>
      <c r="Y2748" s="1"/>
      <c r="Z2748" s="1"/>
    </row>
    <row r="2749" customFormat="false" ht="21.75" hidden="false" customHeight="true" outlineLevel="0" collapsed="false">
      <c r="A2749" s="4" t="n">
        <v>43501</v>
      </c>
      <c r="B2749" s="53" t="s">
        <v>48</v>
      </c>
      <c r="C2749" s="46" t="s">
        <v>26</v>
      </c>
      <c r="D2749" s="46" t="s">
        <v>43</v>
      </c>
      <c r="E2749" s="46" t="s">
        <v>44</v>
      </c>
      <c r="F2749" s="46" t="s">
        <v>6384</v>
      </c>
      <c r="G2749" s="46" t="n">
        <f aca="false">+593968844999</f>
        <v>593968844999</v>
      </c>
      <c r="H2749" s="46" t="s">
        <v>6385</v>
      </c>
      <c r="I2749" s="46"/>
      <c r="J2749" s="1"/>
      <c r="K2749" s="1" t="s">
        <v>6386</v>
      </c>
      <c r="L2749" s="1"/>
      <c r="M2749" s="1"/>
      <c r="N2749" s="1"/>
      <c r="O2749" s="1"/>
      <c r="P2749" s="6"/>
      <c r="Q2749" s="1"/>
      <c r="R2749" s="1"/>
      <c r="S2749" s="1"/>
      <c r="T2749" s="1"/>
      <c r="U2749" s="1"/>
      <c r="V2749" s="1"/>
      <c r="W2749" s="1"/>
      <c r="X2749" s="1"/>
      <c r="Y2749" s="1"/>
      <c r="Z2749" s="1"/>
    </row>
    <row r="2750" customFormat="false" ht="21.75" hidden="false" customHeight="true" outlineLevel="0" collapsed="false">
      <c r="A2750" s="4" t="n">
        <v>43501</v>
      </c>
      <c r="B2750" s="53" t="s">
        <v>42</v>
      </c>
      <c r="C2750" s="46" t="s">
        <v>15</v>
      </c>
      <c r="D2750" s="46" t="s">
        <v>43</v>
      </c>
      <c r="E2750" s="46" t="s">
        <v>44</v>
      </c>
      <c r="F2750" s="46" t="s">
        <v>6387</v>
      </c>
      <c r="G2750" s="46" t="n">
        <f aca="false">+593998500056</f>
        <v>593998500056</v>
      </c>
      <c r="H2750" s="46" t="s">
        <v>6388</v>
      </c>
      <c r="I2750" s="46"/>
      <c r="J2750" s="1"/>
      <c r="K2750" s="1" t="s">
        <v>6389</v>
      </c>
      <c r="L2750" s="1"/>
      <c r="M2750" s="1"/>
      <c r="N2750" s="1"/>
      <c r="O2750" s="1"/>
      <c r="P2750" s="6"/>
      <c r="Q2750" s="1"/>
      <c r="R2750" s="1"/>
      <c r="S2750" s="1"/>
      <c r="T2750" s="1"/>
      <c r="U2750" s="1"/>
      <c r="V2750" s="1"/>
      <c r="W2750" s="1"/>
      <c r="X2750" s="1"/>
      <c r="Y2750" s="1"/>
      <c r="Z2750" s="1"/>
    </row>
    <row r="2751" customFormat="false" ht="21.75" hidden="false" customHeight="true" outlineLevel="0" collapsed="false">
      <c r="A2751" s="4" t="n">
        <v>43501</v>
      </c>
      <c r="B2751" s="53" t="s">
        <v>178</v>
      </c>
      <c r="C2751" s="46" t="s">
        <v>15</v>
      </c>
      <c r="D2751" s="46" t="s">
        <v>43</v>
      </c>
      <c r="E2751" s="46" t="s">
        <v>44</v>
      </c>
      <c r="F2751" s="46" t="s">
        <v>6390</v>
      </c>
      <c r="G2751" s="46" t="n">
        <f aca="false">+593984272303</f>
        <v>593984272303</v>
      </c>
      <c r="H2751" s="46" t="s">
        <v>6391</v>
      </c>
      <c r="I2751" s="46"/>
      <c r="J2751" s="1"/>
      <c r="K2751" s="1" t="s">
        <v>1156</v>
      </c>
      <c r="L2751" s="1" t="s">
        <v>21</v>
      </c>
      <c r="M2751" s="1"/>
      <c r="N2751" s="1"/>
      <c r="O2751" s="1"/>
      <c r="P2751" s="6"/>
      <c r="Q2751" s="1"/>
      <c r="R2751" s="1"/>
      <c r="S2751" s="1"/>
      <c r="T2751" s="1"/>
      <c r="U2751" s="1"/>
      <c r="V2751" s="1"/>
      <c r="W2751" s="1"/>
      <c r="X2751" s="1"/>
      <c r="Y2751" s="1"/>
      <c r="Z2751" s="1"/>
    </row>
    <row r="2752" customFormat="false" ht="21.75" hidden="false" customHeight="true" outlineLevel="0" collapsed="false">
      <c r="A2752" s="4" t="n">
        <v>43501</v>
      </c>
      <c r="B2752" s="53" t="s">
        <v>178</v>
      </c>
      <c r="C2752" s="46" t="s">
        <v>26</v>
      </c>
      <c r="D2752" s="46" t="s">
        <v>43</v>
      </c>
      <c r="E2752" s="46" t="s">
        <v>44</v>
      </c>
      <c r="F2752" s="46" t="s">
        <v>6392</v>
      </c>
      <c r="G2752" s="46" t="n">
        <f aca="false">+593939214082</f>
        <v>593939214082</v>
      </c>
      <c r="H2752" s="46" t="s">
        <v>6393</v>
      </c>
      <c r="I2752" s="46"/>
      <c r="J2752" s="1"/>
      <c r="K2752" s="1" t="s">
        <v>5481</v>
      </c>
      <c r="L2752" s="1" t="s">
        <v>21</v>
      </c>
      <c r="M2752" s="1"/>
      <c r="N2752" s="1"/>
      <c r="O2752" s="1"/>
      <c r="P2752" s="6"/>
      <c r="Q2752" s="1"/>
      <c r="R2752" s="1"/>
      <c r="S2752" s="1"/>
      <c r="T2752" s="1"/>
      <c r="U2752" s="1"/>
      <c r="V2752" s="1"/>
      <c r="W2752" s="1"/>
      <c r="X2752" s="1"/>
      <c r="Y2752" s="1"/>
      <c r="Z2752" s="1"/>
    </row>
    <row r="2753" customFormat="false" ht="21.75" hidden="false" customHeight="true" outlineLevel="0" collapsed="false">
      <c r="A2753" s="4" t="n">
        <v>43501</v>
      </c>
      <c r="B2753" s="53" t="s">
        <v>178</v>
      </c>
      <c r="C2753" s="46" t="s">
        <v>26</v>
      </c>
      <c r="D2753" s="46" t="s">
        <v>43</v>
      </c>
      <c r="E2753" s="46" t="s">
        <v>44</v>
      </c>
      <c r="F2753" s="46" t="s">
        <v>6394</v>
      </c>
      <c r="G2753" s="46" t="n">
        <f aca="false">+593993405109</f>
        <v>593993405109</v>
      </c>
      <c r="H2753" s="46" t="s">
        <v>6395</v>
      </c>
      <c r="I2753" s="46"/>
      <c r="J2753" s="1"/>
      <c r="K2753" s="1" t="s">
        <v>6396</v>
      </c>
      <c r="L2753" s="1"/>
      <c r="M2753" s="1"/>
      <c r="N2753" s="1"/>
      <c r="O2753" s="1"/>
      <c r="P2753" s="6"/>
      <c r="Q2753" s="1"/>
      <c r="R2753" s="1"/>
      <c r="S2753" s="1"/>
      <c r="T2753" s="1"/>
      <c r="U2753" s="1"/>
      <c r="V2753" s="1"/>
      <c r="W2753" s="1"/>
      <c r="X2753" s="1"/>
      <c r="Y2753" s="1"/>
      <c r="Z2753" s="1"/>
    </row>
    <row r="2754" customFormat="false" ht="21.75" hidden="false" customHeight="true" outlineLevel="0" collapsed="false">
      <c r="A2754" s="4" t="n">
        <v>43501</v>
      </c>
      <c r="B2754" s="53" t="s">
        <v>81</v>
      </c>
      <c r="C2754" s="46" t="s">
        <v>15</v>
      </c>
      <c r="D2754" s="46" t="s">
        <v>43</v>
      </c>
      <c r="E2754" s="46" t="s">
        <v>44</v>
      </c>
      <c r="F2754" s="46" t="s">
        <v>6397</v>
      </c>
      <c r="G2754" s="46" t="n">
        <f aca="false">+593998089257</f>
        <v>593998089257</v>
      </c>
      <c r="H2754" s="46" t="s">
        <v>6398</v>
      </c>
      <c r="I2754" s="46"/>
      <c r="J2754" s="1"/>
      <c r="K2754" s="11" t="s">
        <v>1156</v>
      </c>
      <c r="L2754" s="1" t="s">
        <v>21</v>
      </c>
      <c r="M2754" s="1"/>
      <c r="N2754" s="1"/>
      <c r="O2754" s="1"/>
      <c r="P2754" s="6"/>
      <c r="Q2754" s="1"/>
      <c r="R2754" s="1"/>
      <c r="S2754" s="1"/>
      <c r="T2754" s="1"/>
      <c r="U2754" s="1"/>
      <c r="V2754" s="1"/>
      <c r="W2754" s="1"/>
      <c r="X2754" s="1"/>
      <c r="Y2754" s="1"/>
      <c r="Z2754" s="1"/>
    </row>
    <row r="2755" customFormat="false" ht="21.75" hidden="false" customHeight="true" outlineLevel="0" collapsed="false">
      <c r="A2755" s="4" t="n">
        <v>43501</v>
      </c>
      <c r="B2755" s="53" t="s">
        <v>81</v>
      </c>
      <c r="C2755" s="46" t="s">
        <v>15</v>
      </c>
      <c r="D2755" s="46" t="s">
        <v>43</v>
      </c>
      <c r="E2755" s="46" t="s">
        <v>44</v>
      </c>
      <c r="F2755" s="46" t="s">
        <v>6399</v>
      </c>
      <c r="G2755" s="46" t="n">
        <f aca="false">+593987568540</f>
        <v>593987568540</v>
      </c>
      <c r="H2755" s="46" t="s">
        <v>6400</v>
      </c>
      <c r="I2755" s="46"/>
      <c r="J2755" s="1"/>
      <c r="K2755" s="1" t="s">
        <v>1156</v>
      </c>
      <c r="L2755" s="1" t="s">
        <v>1144</v>
      </c>
      <c r="M2755" s="1"/>
      <c r="N2755" s="1"/>
      <c r="O2755" s="1"/>
      <c r="P2755" s="6"/>
      <c r="Q2755" s="1"/>
      <c r="R2755" s="1"/>
      <c r="S2755" s="1"/>
      <c r="T2755" s="1"/>
      <c r="U2755" s="1"/>
      <c r="V2755" s="1"/>
      <c r="W2755" s="1"/>
      <c r="X2755" s="1"/>
      <c r="Y2755" s="1"/>
      <c r="Z2755" s="1"/>
    </row>
    <row r="2756" customFormat="false" ht="21.75" hidden="false" customHeight="true" outlineLevel="0" collapsed="false">
      <c r="A2756" s="4" t="n">
        <v>43501</v>
      </c>
      <c r="B2756" s="53" t="s">
        <v>81</v>
      </c>
      <c r="C2756" s="46" t="s">
        <v>15</v>
      </c>
      <c r="D2756" s="46" t="s">
        <v>43</v>
      </c>
      <c r="E2756" s="46" t="s">
        <v>44</v>
      </c>
      <c r="F2756" s="46" t="s">
        <v>6401</v>
      </c>
      <c r="G2756" s="46" t="n">
        <f aca="false">+593969094436</f>
        <v>593969094436</v>
      </c>
      <c r="H2756" s="46" t="s">
        <v>6402</v>
      </c>
      <c r="I2756" s="46"/>
      <c r="J2756" s="1"/>
      <c r="K2756" s="1" t="s">
        <v>1156</v>
      </c>
      <c r="L2756" s="1" t="s">
        <v>21</v>
      </c>
      <c r="M2756" s="1"/>
      <c r="N2756" s="1"/>
      <c r="O2756" s="1"/>
      <c r="P2756" s="6"/>
      <c r="Q2756" s="1"/>
      <c r="R2756" s="1"/>
      <c r="S2756" s="1"/>
      <c r="T2756" s="1"/>
      <c r="U2756" s="1"/>
      <c r="V2756" s="1"/>
      <c r="W2756" s="1"/>
      <c r="X2756" s="1"/>
      <c r="Y2756" s="1"/>
      <c r="Z2756" s="1"/>
    </row>
    <row r="2757" customFormat="false" ht="21.75" hidden="false" customHeight="true" outlineLevel="0" collapsed="false">
      <c r="A2757" s="4" t="n">
        <v>43501</v>
      </c>
      <c r="B2757" s="53" t="s">
        <v>81</v>
      </c>
      <c r="C2757" s="46" t="s">
        <v>15</v>
      </c>
      <c r="D2757" s="46" t="s">
        <v>43</v>
      </c>
      <c r="E2757" s="46" t="s">
        <v>44</v>
      </c>
      <c r="F2757" s="46" t="s">
        <v>6403</v>
      </c>
      <c r="G2757" s="46" t="n">
        <f aca="false">+593983999427</f>
        <v>593983999427</v>
      </c>
      <c r="H2757" s="46" t="s">
        <v>6404</v>
      </c>
      <c r="I2757" s="46"/>
      <c r="J2757" s="1"/>
      <c r="K2757" s="1" t="s">
        <v>5481</v>
      </c>
      <c r="L2757" s="1" t="s">
        <v>21</v>
      </c>
      <c r="M2757" s="1"/>
      <c r="N2757" s="1"/>
      <c r="O2757" s="1"/>
      <c r="P2757" s="6"/>
      <c r="Q2757" s="1"/>
      <c r="R2757" s="1"/>
      <c r="S2757" s="1"/>
      <c r="T2757" s="1"/>
      <c r="U2757" s="1"/>
      <c r="V2757" s="1"/>
      <c r="W2757" s="1"/>
      <c r="X2757" s="1"/>
      <c r="Y2757" s="1"/>
      <c r="Z2757" s="1"/>
    </row>
    <row r="2758" customFormat="false" ht="21.75" hidden="false" customHeight="true" outlineLevel="0" collapsed="false">
      <c r="A2758" s="4" t="n">
        <v>43501</v>
      </c>
      <c r="B2758" s="53" t="s">
        <v>81</v>
      </c>
      <c r="C2758" s="46" t="s">
        <v>15</v>
      </c>
      <c r="D2758" s="46" t="s">
        <v>43</v>
      </c>
      <c r="E2758" s="46" t="s">
        <v>44</v>
      </c>
      <c r="F2758" s="46" t="s">
        <v>6405</v>
      </c>
      <c r="G2758" s="46" t="n">
        <f aca="false">+5930989302238</f>
        <v>5930989302238</v>
      </c>
      <c r="H2758" s="46" t="s">
        <v>6406</v>
      </c>
      <c r="I2758" s="46"/>
      <c r="J2758" s="1"/>
      <c r="K2758" s="1" t="s">
        <v>6407</v>
      </c>
      <c r="L2758" s="1"/>
      <c r="M2758" s="1"/>
      <c r="N2758" s="1"/>
      <c r="O2758" s="1"/>
      <c r="P2758" s="6"/>
      <c r="Q2758" s="1"/>
      <c r="R2758" s="1"/>
      <c r="S2758" s="1"/>
      <c r="T2758" s="1"/>
      <c r="U2758" s="1"/>
      <c r="V2758" s="1"/>
      <c r="W2758" s="1"/>
      <c r="X2758" s="1"/>
      <c r="Y2758" s="1"/>
      <c r="Z2758" s="1"/>
    </row>
    <row r="2759" customFormat="false" ht="21.75" hidden="false" customHeight="true" outlineLevel="0" collapsed="false">
      <c r="A2759" s="4" t="n">
        <v>43501</v>
      </c>
      <c r="B2759" s="53" t="s">
        <v>86</v>
      </c>
      <c r="C2759" s="46" t="s">
        <v>15</v>
      </c>
      <c r="D2759" s="46" t="s">
        <v>16</v>
      </c>
      <c r="E2759" s="46" t="s">
        <v>17</v>
      </c>
      <c r="F2759" s="46" t="s">
        <v>6408</v>
      </c>
      <c r="G2759" s="46" t="n">
        <f aca="false">+593988792640</f>
        <v>593988792640</v>
      </c>
      <c r="H2759" s="46" t="s">
        <v>6409</v>
      </c>
      <c r="I2759" s="46"/>
      <c r="J2759" s="1"/>
      <c r="K2759" s="1" t="s">
        <v>3372</v>
      </c>
      <c r="L2759" s="1"/>
      <c r="M2759" s="1"/>
      <c r="N2759" s="1"/>
      <c r="O2759" s="1"/>
      <c r="P2759" s="6"/>
      <c r="Q2759" s="1"/>
      <c r="R2759" s="1"/>
      <c r="S2759" s="1"/>
      <c r="T2759" s="1"/>
      <c r="U2759" s="1"/>
      <c r="V2759" s="1"/>
      <c r="W2759" s="1"/>
      <c r="X2759" s="1"/>
      <c r="Y2759" s="1"/>
      <c r="Z2759" s="1"/>
    </row>
    <row r="2760" customFormat="false" ht="21.75" hidden="false" customHeight="true" outlineLevel="0" collapsed="false">
      <c r="A2760" s="4" t="n">
        <v>43501</v>
      </c>
      <c r="B2760" s="53" t="s">
        <v>108</v>
      </c>
      <c r="C2760" s="46" t="s">
        <v>15</v>
      </c>
      <c r="D2760" s="46" t="s">
        <v>16</v>
      </c>
      <c r="E2760" s="46" t="s">
        <v>109</v>
      </c>
      <c r="F2760" s="46" t="s">
        <v>6410</v>
      </c>
      <c r="G2760" s="46" t="n">
        <f aca="false">+593969594406</f>
        <v>593969594406</v>
      </c>
      <c r="H2760" s="46" t="s">
        <v>6411</v>
      </c>
      <c r="I2760" s="46"/>
      <c r="J2760" s="1"/>
      <c r="K2760" s="1" t="s">
        <v>6412</v>
      </c>
      <c r="L2760" s="1"/>
      <c r="M2760" s="1"/>
      <c r="N2760" s="1"/>
      <c r="O2760" s="1"/>
      <c r="P2760" s="6"/>
      <c r="Q2760" s="1"/>
      <c r="R2760" s="1"/>
      <c r="S2760" s="1"/>
      <c r="T2760" s="1"/>
      <c r="U2760" s="1"/>
      <c r="V2760" s="1"/>
      <c r="W2760" s="1"/>
      <c r="X2760" s="1"/>
      <c r="Y2760" s="1"/>
      <c r="Z2760" s="1"/>
    </row>
    <row r="2761" customFormat="false" ht="21.75" hidden="false" customHeight="true" outlineLevel="0" collapsed="false">
      <c r="A2761" s="4" t="n">
        <v>43501</v>
      </c>
      <c r="B2761" s="53" t="s">
        <v>14</v>
      </c>
      <c r="C2761" s="46" t="s">
        <v>15</v>
      </c>
      <c r="D2761" s="46" t="s">
        <v>16</v>
      </c>
      <c r="E2761" s="46" t="s">
        <v>17</v>
      </c>
      <c r="F2761" s="46" t="s">
        <v>6413</v>
      </c>
      <c r="G2761" s="46" t="n">
        <f aca="false">+593959004714</f>
        <v>593959004714</v>
      </c>
      <c r="H2761" s="46" t="s">
        <v>6414</v>
      </c>
      <c r="I2761" s="46"/>
      <c r="J2761" s="1"/>
      <c r="K2761" s="1" t="s">
        <v>3372</v>
      </c>
      <c r="L2761" s="1"/>
      <c r="M2761" s="1"/>
      <c r="N2761" s="1"/>
      <c r="O2761" s="1"/>
      <c r="P2761" s="6"/>
      <c r="Q2761" s="1"/>
      <c r="R2761" s="1"/>
      <c r="S2761" s="1"/>
      <c r="T2761" s="1"/>
      <c r="U2761" s="1"/>
      <c r="V2761" s="1"/>
      <c r="W2761" s="1"/>
      <c r="X2761" s="1"/>
      <c r="Y2761" s="1"/>
      <c r="Z2761" s="1"/>
    </row>
    <row r="2762" customFormat="false" ht="21.75" hidden="false" customHeight="true" outlineLevel="0" collapsed="false">
      <c r="A2762" s="4" t="n">
        <v>43501</v>
      </c>
      <c r="B2762" s="53" t="s">
        <v>14</v>
      </c>
      <c r="C2762" s="46" t="s">
        <v>15</v>
      </c>
      <c r="D2762" s="46" t="s">
        <v>16</v>
      </c>
      <c r="E2762" s="46" t="s">
        <v>17</v>
      </c>
      <c r="F2762" s="46" t="s">
        <v>6245</v>
      </c>
      <c r="G2762" s="46" t="n">
        <f aca="false">+593985964214</f>
        <v>593985964214</v>
      </c>
      <c r="H2762" s="46" t="s">
        <v>6246</v>
      </c>
      <c r="I2762" s="46"/>
      <c r="J2762" s="1"/>
      <c r="K2762" s="1" t="s">
        <v>3623</v>
      </c>
      <c r="L2762" s="1"/>
      <c r="M2762" s="1"/>
      <c r="N2762" s="1"/>
      <c r="O2762" s="1"/>
      <c r="P2762" s="6"/>
      <c r="Q2762" s="1"/>
      <c r="R2762" s="1"/>
      <c r="S2762" s="1"/>
      <c r="T2762" s="1"/>
      <c r="U2762" s="1"/>
      <c r="V2762" s="1"/>
      <c r="W2762" s="1"/>
      <c r="X2762" s="1"/>
      <c r="Y2762" s="1"/>
      <c r="Z2762" s="1"/>
    </row>
    <row r="2763" customFormat="false" ht="21.75" hidden="false" customHeight="true" outlineLevel="0" collapsed="false">
      <c r="A2763" s="4" t="n">
        <v>43501</v>
      </c>
      <c r="B2763" s="53" t="s">
        <v>127</v>
      </c>
      <c r="C2763" s="46" t="s">
        <v>15</v>
      </c>
      <c r="D2763" s="46" t="s">
        <v>43</v>
      </c>
      <c r="E2763" s="46" t="s">
        <v>109</v>
      </c>
      <c r="F2763" s="50" t="s">
        <v>6415</v>
      </c>
      <c r="G2763" s="51" t="n">
        <v>992163402</v>
      </c>
      <c r="H2763" s="60" t="s">
        <v>6416</v>
      </c>
      <c r="I2763" s="52"/>
      <c r="J2763" s="1"/>
      <c r="K2763" s="1" t="s">
        <v>6417</v>
      </c>
      <c r="L2763" s="1"/>
      <c r="M2763" s="1"/>
      <c r="N2763" s="1"/>
      <c r="O2763" s="1"/>
      <c r="P2763" s="6"/>
      <c r="Q2763" s="1"/>
      <c r="R2763" s="1"/>
      <c r="S2763" s="1"/>
      <c r="T2763" s="1"/>
      <c r="U2763" s="1"/>
      <c r="V2763" s="1"/>
      <c r="W2763" s="1"/>
      <c r="X2763" s="1"/>
      <c r="Y2763" s="1"/>
      <c r="Z2763" s="1"/>
    </row>
    <row r="2764" customFormat="false" ht="21.75" hidden="false" customHeight="true" outlineLevel="0" collapsed="false">
      <c r="A2764" s="4" t="n">
        <v>43501</v>
      </c>
      <c r="B2764" s="53" t="s">
        <v>166</v>
      </c>
      <c r="C2764" s="46" t="s">
        <v>15</v>
      </c>
      <c r="D2764" s="46" t="s">
        <v>16</v>
      </c>
      <c r="E2764" s="46" t="s">
        <v>17</v>
      </c>
      <c r="F2764" s="50" t="s">
        <v>6418</v>
      </c>
      <c r="G2764" s="51" t="n">
        <v>986650444</v>
      </c>
      <c r="H2764" s="52" t="s">
        <v>6419</v>
      </c>
      <c r="I2764" s="52"/>
      <c r="J2764" s="1"/>
      <c r="K2764" s="1" t="s">
        <v>3372</v>
      </c>
      <c r="L2764" s="1"/>
      <c r="M2764" s="1"/>
      <c r="N2764" s="1"/>
      <c r="O2764" s="1"/>
      <c r="P2764" s="6"/>
      <c r="Q2764" s="1"/>
      <c r="R2764" s="1"/>
      <c r="S2764" s="1"/>
      <c r="T2764" s="1"/>
      <c r="U2764" s="1"/>
      <c r="V2764" s="1"/>
      <c r="W2764" s="1"/>
      <c r="X2764" s="1"/>
      <c r="Y2764" s="1"/>
      <c r="Z2764" s="1"/>
    </row>
    <row r="2765" customFormat="false" ht="21.75" hidden="false" customHeight="true" outlineLevel="0" collapsed="false">
      <c r="A2765" s="4" t="n">
        <v>43501</v>
      </c>
      <c r="B2765" s="53" t="s">
        <v>14</v>
      </c>
      <c r="C2765" s="46" t="s">
        <v>15</v>
      </c>
      <c r="D2765" s="46" t="s">
        <v>16</v>
      </c>
      <c r="E2765" s="46" t="s">
        <v>17</v>
      </c>
      <c r="F2765" s="50" t="s">
        <v>6420</v>
      </c>
      <c r="G2765" s="51" t="n">
        <v>992875868</v>
      </c>
      <c r="H2765" s="52" t="s">
        <v>6421</v>
      </c>
      <c r="I2765" s="52"/>
      <c r="J2765" s="1"/>
      <c r="K2765" s="1" t="s">
        <v>3372</v>
      </c>
      <c r="L2765" s="1"/>
      <c r="M2765" s="1"/>
      <c r="N2765" s="1"/>
      <c r="O2765" s="1"/>
      <c r="P2765" s="6"/>
      <c r="Q2765" s="1"/>
      <c r="R2765" s="1"/>
      <c r="S2765" s="1"/>
      <c r="T2765" s="1"/>
      <c r="U2765" s="1"/>
      <c r="V2765" s="1"/>
      <c r="W2765" s="1"/>
      <c r="X2765" s="1"/>
      <c r="Y2765" s="1"/>
      <c r="Z2765" s="1"/>
    </row>
    <row r="2766" customFormat="false" ht="21.75" hidden="false" customHeight="true" outlineLevel="0" collapsed="false">
      <c r="A2766" s="4" t="n">
        <v>43501</v>
      </c>
      <c r="B2766" s="53" t="s">
        <v>81</v>
      </c>
      <c r="C2766" s="46" t="s">
        <v>15</v>
      </c>
      <c r="D2766" s="46" t="s">
        <v>43</v>
      </c>
      <c r="E2766" s="46" t="s">
        <v>44</v>
      </c>
      <c r="F2766" s="50" t="s">
        <v>6422</v>
      </c>
      <c r="G2766" s="51" t="n">
        <v>979979384</v>
      </c>
      <c r="H2766" s="52" t="s">
        <v>6423</v>
      </c>
      <c r="I2766" s="52"/>
      <c r="J2766" s="1"/>
      <c r="K2766" s="1" t="s">
        <v>6424</v>
      </c>
      <c r="L2766" s="1"/>
      <c r="M2766" s="1"/>
      <c r="N2766" s="1"/>
      <c r="O2766" s="1"/>
      <c r="P2766" s="6"/>
      <c r="Q2766" s="1"/>
      <c r="R2766" s="1"/>
      <c r="S2766" s="1"/>
      <c r="T2766" s="1"/>
      <c r="U2766" s="1"/>
      <c r="V2766" s="1"/>
      <c r="W2766" s="1"/>
      <c r="X2766" s="1"/>
      <c r="Y2766" s="1"/>
      <c r="Z2766" s="1"/>
    </row>
    <row r="2767" customFormat="false" ht="21.75" hidden="false" customHeight="true" outlineLevel="0" collapsed="false">
      <c r="A2767" s="4" t="n">
        <v>43501</v>
      </c>
      <c r="B2767" s="53" t="s">
        <v>48</v>
      </c>
      <c r="C2767" s="46" t="s">
        <v>15</v>
      </c>
      <c r="D2767" s="46" t="s">
        <v>43</v>
      </c>
      <c r="E2767" s="46" t="s">
        <v>44</v>
      </c>
      <c r="F2767" s="52" t="s">
        <v>6425</v>
      </c>
      <c r="G2767" s="52"/>
      <c r="H2767" s="52" t="s">
        <v>6426</v>
      </c>
      <c r="I2767" s="52"/>
      <c r="J2767" s="1"/>
      <c r="K2767" s="1" t="s">
        <v>6427</v>
      </c>
      <c r="L2767" s="1"/>
      <c r="M2767" s="1"/>
      <c r="N2767" s="1"/>
      <c r="O2767" s="1"/>
      <c r="P2767" s="6"/>
      <c r="Q2767" s="1"/>
      <c r="R2767" s="1"/>
      <c r="S2767" s="1"/>
      <c r="T2767" s="1"/>
      <c r="U2767" s="1"/>
      <c r="V2767" s="1"/>
      <c r="W2767" s="1"/>
      <c r="X2767" s="1"/>
      <c r="Y2767" s="1"/>
      <c r="Z2767" s="1"/>
    </row>
    <row r="2768" customFormat="false" ht="21.75" hidden="false" customHeight="true" outlineLevel="0" collapsed="false">
      <c r="A2768" s="4" t="n">
        <v>43501</v>
      </c>
      <c r="B2768" s="53" t="s">
        <v>48</v>
      </c>
      <c r="C2768" s="46" t="s">
        <v>15</v>
      </c>
      <c r="D2768" s="46" t="s">
        <v>43</v>
      </c>
      <c r="E2768" s="46" t="s">
        <v>44</v>
      </c>
      <c r="F2768" s="50" t="s">
        <v>6428</v>
      </c>
      <c r="G2768" s="72" t="n">
        <v>997567248</v>
      </c>
      <c r="H2768" s="52" t="s">
        <v>6429</v>
      </c>
      <c r="I2768" s="52"/>
      <c r="J2768" s="1"/>
      <c r="K2768" s="1" t="s">
        <v>5481</v>
      </c>
      <c r="L2768" s="1" t="s">
        <v>6430</v>
      </c>
      <c r="M2768" s="1"/>
      <c r="N2768" s="1"/>
      <c r="O2768" s="1"/>
      <c r="P2768" s="6"/>
      <c r="Q2768" s="1"/>
      <c r="R2768" s="1"/>
      <c r="S2768" s="1"/>
      <c r="T2768" s="1"/>
      <c r="U2768" s="1"/>
      <c r="V2768" s="1"/>
      <c r="W2768" s="1"/>
      <c r="X2768" s="1"/>
      <c r="Y2768" s="1"/>
      <c r="Z2768" s="1"/>
    </row>
    <row r="2769" customFormat="false" ht="21.75" hidden="false" customHeight="true" outlineLevel="0" collapsed="false">
      <c r="A2769" s="4" t="n">
        <v>43501</v>
      </c>
      <c r="B2769" s="53" t="s">
        <v>415</v>
      </c>
      <c r="C2769" s="46" t="s">
        <v>15</v>
      </c>
      <c r="D2769" s="46" t="s">
        <v>43</v>
      </c>
      <c r="E2769" s="46" t="s">
        <v>109</v>
      </c>
      <c r="F2769" s="50" t="s">
        <v>6431</v>
      </c>
      <c r="G2769" s="51" t="n">
        <v>969930846</v>
      </c>
      <c r="H2769" s="52" t="s">
        <v>6432</v>
      </c>
      <c r="I2769" s="52"/>
      <c r="J2769" s="1"/>
      <c r="K2769" s="1" t="s">
        <v>1156</v>
      </c>
      <c r="L2769" s="1" t="s">
        <v>21</v>
      </c>
      <c r="M2769" s="1"/>
      <c r="N2769" s="1"/>
      <c r="O2769" s="1"/>
      <c r="P2769" s="6"/>
      <c r="Q2769" s="1"/>
      <c r="R2769" s="1"/>
      <c r="S2769" s="1"/>
      <c r="T2769" s="1"/>
      <c r="U2769" s="1"/>
      <c r="V2769" s="1"/>
      <c r="W2769" s="1"/>
      <c r="X2769" s="1"/>
      <c r="Y2769" s="1"/>
      <c r="Z2769" s="1"/>
    </row>
    <row r="2770" customFormat="false" ht="21.75" hidden="false" customHeight="true" outlineLevel="0" collapsed="false">
      <c r="A2770" s="4" t="n">
        <v>43501</v>
      </c>
      <c r="B2770" s="53" t="s">
        <v>42</v>
      </c>
      <c r="C2770" s="46" t="s">
        <v>15</v>
      </c>
      <c r="D2770" s="46" t="s">
        <v>43</v>
      </c>
      <c r="E2770" s="46" t="s">
        <v>44</v>
      </c>
      <c r="F2770" s="52" t="s">
        <v>6433</v>
      </c>
      <c r="G2770" s="51" t="n">
        <v>996038917</v>
      </c>
      <c r="H2770" s="52" t="s">
        <v>6434</v>
      </c>
      <c r="I2770" s="52"/>
      <c r="J2770" s="1"/>
      <c r="K2770" s="1" t="s">
        <v>5481</v>
      </c>
      <c r="L2770" s="1" t="s">
        <v>21</v>
      </c>
      <c r="M2770" s="1"/>
      <c r="N2770" s="1"/>
      <c r="O2770" s="1"/>
      <c r="P2770" s="6"/>
      <c r="Q2770" s="1"/>
      <c r="R2770" s="1"/>
      <c r="S2770" s="1"/>
      <c r="T2770" s="1"/>
      <c r="U2770" s="1"/>
      <c r="V2770" s="1"/>
      <c r="W2770" s="1"/>
      <c r="X2770" s="1"/>
      <c r="Y2770" s="1"/>
      <c r="Z2770" s="1"/>
    </row>
    <row r="2771" customFormat="false" ht="21.75" hidden="false" customHeight="true" outlineLevel="0" collapsed="false">
      <c r="A2771" s="4" t="n">
        <v>43501</v>
      </c>
      <c r="B2771" s="53" t="s">
        <v>48</v>
      </c>
      <c r="C2771" s="46" t="s">
        <v>15</v>
      </c>
      <c r="D2771" s="46" t="s">
        <v>43</v>
      </c>
      <c r="E2771" s="46" t="s">
        <v>109</v>
      </c>
      <c r="F2771" s="50" t="s">
        <v>6435</v>
      </c>
      <c r="G2771" s="51" t="n">
        <v>993787181</v>
      </c>
      <c r="H2771" s="52"/>
      <c r="I2771" s="52"/>
      <c r="J2771" s="1"/>
      <c r="K2771" s="1" t="s">
        <v>5344</v>
      </c>
      <c r="L2771" s="1"/>
      <c r="M2771" s="1"/>
      <c r="N2771" s="1"/>
      <c r="O2771" s="1"/>
      <c r="P2771" s="6"/>
      <c r="Q2771" s="1"/>
      <c r="R2771" s="1"/>
      <c r="S2771" s="1"/>
      <c r="T2771" s="1"/>
      <c r="U2771" s="1"/>
      <c r="V2771" s="1"/>
      <c r="W2771" s="1"/>
      <c r="X2771" s="1"/>
      <c r="Y2771" s="1"/>
      <c r="Z2771" s="1"/>
    </row>
    <row r="2772" customFormat="false" ht="21.75" hidden="false" customHeight="true" outlineLevel="0" collapsed="false">
      <c r="A2772" s="4" t="n">
        <v>43501</v>
      </c>
      <c r="B2772" s="53" t="s">
        <v>86</v>
      </c>
      <c r="C2772" s="46" t="s">
        <v>15</v>
      </c>
      <c r="D2772" s="46" t="s">
        <v>16</v>
      </c>
      <c r="E2772" s="46" t="s">
        <v>17</v>
      </c>
      <c r="F2772" s="50" t="s">
        <v>6436</v>
      </c>
      <c r="G2772" s="51" t="n">
        <v>968957690</v>
      </c>
      <c r="H2772" s="52" t="s">
        <v>6437</v>
      </c>
      <c r="I2772" s="52"/>
      <c r="J2772" s="1"/>
      <c r="K2772" s="1" t="s">
        <v>3372</v>
      </c>
      <c r="L2772" s="1" t="s">
        <v>21</v>
      </c>
      <c r="M2772" s="1"/>
      <c r="N2772" s="1"/>
      <c r="O2772" s="1"/>
      <c r="P2772" s="6"/>
      <c r="Q2772" s="1"/>
      <c r="R2772" s="1"/>
      <c r="S2772" s="1"/>
      <c r="T2772" s="1"/>
      <c r="U2772" s="1"/>
      <c r="V2772" s="1"/>
      <c r="W2772" s="1"/>
      <c r="X2772" s="1"/>
      <c r="Y2772" s="1"/>
      <c r="Z2772" s="1"/>
    </row>
    <row r="2773" customFormat="false" ht="21.75" hidden="false" customHeight="true" outlineLevel="0" collapsed="false">
      <c r="A2773" s="4" t="n">
        <v>43501</v>
      </c>
      <c r="B2773" s="53" t="s">
        <v>1114</v>
      </c>
      <c r="C2773" s="46" t="s">
        <v>15</v>
      </c>
      <c r="D2773" s="46" t="s">
        <v>43</v>
      </c>
      <c r="E2773" s="46" t="s">
        <v>109</v>
      </c>
      <c r="F2773" s="50" t="s">
        <v>6438</v>
      </c>
      <c r="G2773" s="51" t="n">
        <v>960866539</v>
      </c>
      <c r="H2773" s="52" t="s">
        <v>6439</v>
      </c>
      <c r="I2773" s="52"/>
      <c r="J2773" s="1"/>
      <c r="K2773" s="1" t="s">
        <v>1156</v>
      </c>
      <c r="L2773" s="1" t="s">
        <v>5754</v>
      </c>
      <c r="M2773" s="1"/>
      <c r="N2773" s="1"/>
      <c r="O2773" s="1"/>
      <c r="P2773" s="6"/>
      <c r="Q2773" s="1"/>
      <c r="R2773" s="1"/>
      <c r="S2773" s="1"/>
      <c r="T2773" s="1"/>
      <c r="U2773" s="1"/>
      <c r="V2773" s="1"/>
      <c r="W2773" s="1"/>
      <c r="X2773" s="1"/>
      <c r="Y2773" s="1"/>
      <c r="Z2773" s="1"/>
    </row>
    <row r="2774" customFormat="false" ht="21.75" hidden="false" customHeight="true" outlineLevel="0" collapsed="false">
      <c r="A2774" s="4" t="n">
        <v>43501</v>
      </c>
      <c r="B2774" s="53" t="s">
        <v>48</v>
      </c>
      <c r="C2774" s="46" t="s">
        <v>15</v>
      </c>
      <c r="D2774" s="46" t="s">
        <v>43</v>
      </c>
      <c r="E2774" s="46" t="s">
        <v>109</v>
      </c>
      <c r="F2774" s="50" t="s">
        <v>6440</v>
      </c>
      <c r="G2774" s="52"/>
      <c r="H2774" s="52" t="s">
        <v>6441</v>
      </c>
      <c r="I2774" s="52"/>
      <c r="J2774" s="1"/>
      <c r="K2774" s="1" t="s">
        <v>6427</v>
      </c>
      <c r="L2774" s="1"/>
      <c r="M2774" s="1"/>
      <c r="N2774" s="1"/>
      <c r="O2774" s="1"/>
      <c r="P2774" s="6"/>
      <c r="Q2774" s="1"/>
      <c r="R2774" s="1"/>
      <c r="S2774" s="1"/>
      <c r="T2774" s="1"/>
      <c r="U2774" s="1"/>
      <c r="V2774" s="1"/>
      <c r="W2774" s="1"/>
      <c r="X2774" s="1"/>
      <c r="Y2774" s="1"/>
      <c r="Z2774" s="1"/>
    </row>
    <row r="2775" customFormat="false" ht="21.75" hidden="false" customHeight="true" outlineLevel="0" collapsed="false">
      <c r="A2775" s="4" t="n">
        <v>43501</v>
      </c>
      <c r="B2775" s="53" t="s">
        <v>48</v>
      </c>
      <c r="C2775" s="46" t="s">
        <v>15</v>
      </c>
      <c r="D2775" s="46" t="s">
        <v>43</v>
      </c>
      <c r="E2775" s="46" t="s">
        <v>109</v>
      </c>
      <c r="F2775" s="50" t="s">
        <v>6442</v>
      </c>
      <c r="G2775" s="51" t="n">
        <v>996894028</v>
      </c>
      <c r="H2775" s="52" t="s">
        <v>6443</v>
      </c>
      <c r="I2775" s="52"/>
      <c r="J2775" s="1"/>
      <c r="K2775" s="1" t="s">
        <v>5481</v>
      </c>
      <c r="L2775" s="1"/>
      <c r="M2775" s="1"/>
      <c r="N2775" s="1"/>
      <c r="O2775" s="1"/>
      <c r="P2775" s="6"/>
      <c r="Q2775" s="1"/>
      <c r="R2775" s="1"/>
      <c r="S2775" s="1"/>
      <c r="T2775" s="1"/>
      <c r="U2775" s="1"/>
      <c r="V2775" s="1"/>
      <c r="W2775" s="1"/>
      <c r="X2775" s="1"/>
      <c r="Y2775" s="1"/>
      <c r="Z2775" s="1"/>
    </row>
    <row r="2776" customFormat="false" ht="21.75" hidden="false" customHeight="true" outlineLevel="0" collapsed="false">
      <c r="A2776" s="4" t="n">
        <v>43501</v>
      </c>
      <c r="B2776" s="53" t="s">
        <v>48</v>
      </c>
      <c r="C2776" s="46" t="s">
        <v>15</v>
      </c>
      <c r="D2776" s="46" t="s">
        <v>43</v>
      </c>
      <c r="E2776" s="46" t="s">
        <v>109</v>
      </c>
      <c r="F2776" s="52" t="s">
        <v>6444</v>
      </c>
      <c r="G2776" s="51" t="n">
        <v>989962536</v>
      </c>
      <c r="H2776" s="52" t="s">
        <v>6445</v>
      </c>
      <c r="I2776" s="52"/>
      <c r="J2776" s="1"/>
      <c r="K2776" s="1" t="s">
        <v>1156</v>
      </c>
      <c r="L2776" s="1"/>
      <c r="M2776" s="1"/>
      <c r="N2776" s="1"/>
      <c r="O2776" s="1"/>
      <c r="P2776" s="6"/>
      <c r="Q2776" s="1"/>
      <c r="R2776" s="1"/>
      <c r="S2776" s="1"/>
      <c r="T2776" s="1"/>
      <c r="U2776" s="1"/>
      <c r="V2776" s="1"/>
      <c r="W2776" s="1"/>
      <c r="X2776" s="1"/>
      <c r="Y2776" s="1"/>
      <c r="Z2776" s="1"/>
    </row>
    <row r="2777" customFormat="false" ht="21.75" hidden="false" customHeight="true" outlineLevel="0" collapsed="false">
      <c r="A2777" s="4" t="n">
        <v>43501</v>
      </c>
      <c r="B2777" s="53" t="s">
        <v>48</v>
      </c>
      <c r="C2777" s="46" t="s">
        <v>15</v>
      </c>
      <c r="D2777" s="46" t="s">
        <v>43</v>
      </c>
      <c r="E2777" s="46" t="s">
        <v>44</v>
      </c>
      <c r="F2777" s="50" t="s">
        <v>6360</v>
      </c>
      <c r="G2777" s="51" t="n">
        <v>960068788</v>
      </c>
      <c r="H2777" s="52" t="s">
        <v>6446</v>
      </c>
      <c r="I2777" s="52"/>
      <c r="J2777" s="1"/>
      <c r="K2777" s="1" t="s">
        <v>5344</v>
      </c>
      <c r="L2777" s="1"/>
      <c r="M2777" s="1"/>
      <c r="N2777" s="1"/>
      <c r="O2777" s="1"/>
      <c r="P2777" s="6"/>
      <c r="Q2777" s="1"/>
      <c r="R2777" s="1"/>
      <c r="S2777" s="1"/>
      <c r="T2777" s="1"/>
      <c r="U2777" s="1"/>
      <c r="V2777" s="1"/>
      <c r="W2777" s="1"/>
      <c r="X2777" s="1"/>
      <c r="Y2777" s="1"/>
      <c r="Z2777" s="1"/>
    </row>
    <row r="2778" customFormat="false" ht="21.75" hidden="false" customHeight="true" outlineLevel="0" collapsed="false">
      <c r="A2778" s="4" t="n">
        <v>43501</v>
      </c>
      <c r="B2778" s="53" t="s">
        <v>48</v>
      </c>
      <c r="C2778" s="46" t="s">
        <v>15</v>
      </c>
      <c r="D2778" s="46" t="s">
        <v>43</v>
      </c>
      <c r="E2778" s="46" t="s">
        <v>109</v>
      </c>
      <c r="F2778" s="50" t="s">
        <v>6447</v>
      </c>
      <c r="G2778" s="51" t="n">
        <v>961010168</v>
      </c>
      <c r="H2778" s="66" t="s">
        <v>6448</v>
      </c>
      <c r="I2778" s="66"/>
      <c r="J2778" s="1"/>
      <c r="K2778" s="1" t="s">
        <v>1156</v>
      </c>
      <c r="L2778" s="1"/>
      <c r="M2778" s="1"/>
      <c r="N2778" s="1"/>
      <c r="O2778" s="1"/>
      <c r="P2778" s="6"/>
      <c r="Q2778" s="1"/>
      <c r="R2778" s="1"/>
      <c r="S2778" s="1"/>
      <c r="T2778" s="1"/>
      <c r="U2778" s="1"/>
      <c r="V2778" s="1"/>
      <c r="W2778" s="1"/>
      <c r="X2778" s="1"/>
      <c r="Y2778" s="1"/>
      <c r="Z2778" s="1"/>
    </row>
    <row r="2779" customFormat="false" ht="21.75" hidden="false" customHeight="true" outlineLevel="0" collapsed="false">
      <c r="A2779" s="4" t="n">
        <v>43501</v>
      </c>
      <c r="B2779" s="53" t="s">
        <v>48</v>
      </c>
      <c r="C2779" s="46" t="s">
        <v>15</v>
      </c>
      <c r="D2779" s="46" t="s">
        <v>43</v>
      </c>
      <c r="E2779" s="46" t="s">
        <v>109</v>
      </c>
      <c r="F2779" s="52" t="s">
        <v>6449</v>
      </c>
      <c r="G2779" s="52"/>
      <c r="H2779" s="52" t="s">
        <v>6450</v>
      </c>
      <c r="I2779" s="52"/>
      <c r="J2779" s="1"/>
      <c r="K2779" s="1" t="s">
        <v>6427</v>
      </c>
      <c r="L2779" s="1"/>
      <c r="M2779" s="1"/>
      <c r="N2779" s="1"/>
      <c r="O2779" s="1"/>
      <c r="P2779" s="6"/>
      <c r="Q2779" s="1"/>
      <c r="R2779" s="1"/>
      <c r="S2779" s="1"/>
      <c r="T2779" s="1"/>
      <c r="U2779" s="1"/>
      <c r="V2779" s="1"/>
      <c r="W2779" s="1"/>
      <c r="X2779" s="1"/>
      <c r="Y2779" s="1"/>
      <c r="Z2779" s="1"/>
    </row>
    <row r="2780" customFormat="false" ht="21.75" hidden="false" customHeight="true" outlineLevel="0" collapsed="false">
      <c r="A2780" s="4" t="n">
        <v>43501</v>
      </c>
      <c r="B2780" s="53" t="s">
        <v>352</v>
      </c>
      <c r="C2780" s="46" t="s">
        <v>15</v>
      </c>
      <c r="D2780" s="46" t="s">
        <v>43</v>
      </c>
      <c r="E2780" s="46" t="s">
        <v>109</v>
      </c>
      <c r="F2780" s="50" t="s">
        <v>6451</v>
      </c>
      <c r="G2780" s="51" t="n">
        <v>998996188</v>
      </c>
      <c r="H2780" s="52" t="s">
        <v>6452</v>
      </c>
      <c r="I2780" s="52"/>
      <c r="J2780" s="1"/>
      <c r="K2780" s="1" t="s">
        <v>5344</v>
      </c>
      <c r="L2780" s="1"/>
      <c r="M2780" s="1"/>
      <c r="N2780" s="1"/>
      <c r="O2780" s="1"/>
      <c r="P2780" s="6"/>
      <c r="Q2780" s="1"/>
      <c r="R2780" s="1"/>
      <c r="S2780" s="1"/>
      <c r="T2780" s="1"/>
      <c r="U2780" s="1"/>
      <c r="V2780" s="1"/>
      <c r="W2780" s="1"/>
      <c r="X2780" s="1"/>
      <c r="Y2780" s="1"/>
      <c r="Z2780" s="1"/>
    </row>
    <row r="2781" customFormat="false" ht="21.75" hidden="false" customHeight="true" outlineLevel="0" collapsed="false">
      <c r="A2781" s="4" t="n">
        <v>43501</v>
      </c>
      <c r="B2781" s="53" t="s">
        <v>178</v>
      </c>
      <c r="C2781" s="46" t="s">
        <v>15</v>
      </c>
      <c r="D2781" s="46" t="s">
        <v>43</v>
      </c>
      <c r="E2781" s="46" t="s">
        <v>109</v>
      </c>
      <c r="F2781" s="50" t="s">
        <v>6453</v>
      </c>
      <c r="G2781" s="51" t="n">
        <v>961494474</v>
      </c>
      <c r="H2781" s="52" t="s">
        <v>6454</v>
      </c>
      <c r="I2781" s="52"/>
      <c r="J2781" s="1"/>
      <c r="K2781" s="1" t="s">
        <v>6455</v>
      </c>
      <c r="L2781" s="1"/>
      <c r="M2781" s="1"/>
      <c r="N2781" s="1"/>
      <c r="O2781" s="1"/>
      <c r="P2781" s="6"/>
      <c r="Q2781" s="1"/>
      <c r="R2781" s="1"/>
      <c r="S2781" s="1"/>
      <c r="T2781" s="1"/>
      <c r="U2781" s="1"/>
      <c r="V2781" s="1"/>
      <c r="W2781" s="1"/>
      <c r="X2781" s="1"/>
      <c r="Y2781" s="1"/>
      <c r="Z2781" s="1"/>
    </row>
    <row r="2782" customFormat="false" ht="21.75" hidden="false" customHeight="true" outlineLevel="0" collapsed="false">
      <c r="A2782" s="4" t="n">
        <v>43501</v>
      </c>
      <c r="B2782" s="53" t="s">
        <v>127</v>
      </c>
      <c r="C2782" s="46" t="s">
        <v>15</v>
      </c>
      <c r="D2782" s="46" t="s">
        <v>43</v>
      </c>
      <c r="E2782" s="46" t="s">
        <v>883</v>
      </c>
      <c r="F2782" s="50" t="s">
        <v>6456</v>
      </c>
      <c r="G2782" s="51" t="n">
        <v>992596651</v>
      </c>
      <c r="H2782" s="52"/>
      <c r="I2782" s="52"/>
      <c r="J2782" s="1"/>
      <c r="K2782" s="1" t="s">
        <v>1156</v>
      </c>
      <c r="L2782" s="1" t="s">
        <v>6457</v>
      </c>
      <c r="M2782" s="1"/>
      <c r="N2782" s="1"/>
      <c r="O2782" s="1"/>
      <c r="P2782" s="6"/>
      <c r="Q2782" s="1"/>
      <c r="R2782" s="1"/>
      <c r="S2782" s="1"/>
      <c r="T2782" s="1"/>
      <c r="U2782" s="1"/>
      <c r="V2782" s="1"/>
      <c r="W2782" s="1"/>
      <c r="X2782" s="1"/>
      <c r="Y2782" s="1"/>
      <c r="Z2782" s="1"/>
    </row>
    <row r="2783" customFormat="false" ht="21.75" hidden="false" customHeight="true" outlineLevel="0" collapsed="false">
      <c r="A2783" s="4" t="n">
        <v>43501</v>
      </c>
      <c r="B2783" s="53" t="s">
        <v>323</v>
      </c>
      <c r="C2783" s="46" t="s">
        <v>15</v>
      </c>
      <c r="D2783" s="46" t="s">
        <v>43</v>
      </c>
      <c r="E2783" s="46" t="s">
        <v>109</v>
      </c>
      <c r="F2783" s="50" t="s">
        <v>4840</v>
      </c>
      <c r="G2783" s="51" t="n">
        <v>998421230</v>
      </c>
      <c r="H2783" s="52" t="s">
        <v>4841</v>
      </c>
      <c r="I2783" s="52"/>
      <c r="J2783" s="1"/>
      <c r="K2783" s="1" t="s">
        <v>1156</v>
      </c>
      <c r="L2783" s="1" t="s">
        <v>6458</v>
      </c>
      <c r="M2783" s="1"/>
      <c r="N2783" s="1"/>
      <c r="O2783" s="1"/>
      <c r="P2783" s="6"/>
      <c r="Q2783" s="1"/>
      <c r="R2783" s="1"/>
      <c r="S2783" s="1"/>
      <c r="T2783" s="1"/>
      <c r="U2783" s="1"/>
      <c r="V2783" s="1"/>
      <c r="W2783" s="1"/>
      <c r="X2783" s="1"/>
      <c r="Y2783" s="1"/>
      <c r="Z2783" s="1"/>
    </row>
    <row r="2784" customFormat="false" ht="21.75" hidden="false" customHeight="true" outlineLevel="0" collapsed="false">
      <c r="A2784" s="4" t="n">
        <v>43501</v>
      </c>
      <c r="B2784" s="53" t="s">
        <v>48</v>
      </c>
      <c r="C2784" s="46" t="s">
        <v>15</v>
      </c>
      <c r="D2784" s="46" t="s">
        <v>43</v>
      </c>
      <c r="E2784" s="46" t="s">
        <v>883</v>
      </c>
      <c r="F2784" s="70" t="s">
        <v>6459</v>
      </c>
      <c r="G2784" s="70"/>
      <c r="H2784" s="52" t="s">
        <v>6460</v>
      </c>
      <c r="I2784" s="52"/>
      <c r="J2784" s="1"/>
      <c r="K2784" s="1" t="s">
        <v>6427</v>
      </c>
      <c r="L2784" s="1"/>
      <c r="M2784" s="1"/>
      <c r="N2784" s="1"/>
      <c r="O2784" s="1"/>
      <c r="P2784" s="6"/>
      <c r="Q2784" s="1"/>
      <c r="R2784" s="1"/>
      <c r="S2784" s="1"/>
      <c r="T2784" s="1"/>
      <c r="U2784" s="1"/>
      <c r="V2784" s="1"/>
      <c r="W2784" s="1"/>
      <c r="X2784" s="1"/>
      <c r="Y2784" s="1"/>
      <c r="Z2784" s="1"/>
    </row>
    <row r="2785" customFormat="false" ht="21.75" hidden="false" customHeight="true" outlineLevel="0" collapsed="false">
      <c r="A2785" s="4" t="n">
        <v>43501</v>
      </c>
      <c r="B2785" s="61" t="s">
        <v>81</v>
      </c>
      <c r="C2785" s="46" t="s">
        <v>15</v>
      </c>
      <c r="D2785" s="46" t="s">
        <v>43</v>
      </c>
      <c r="E2785" s="46" t="s">
        <v>44</v>
      </c>
      <c r="F2785" s="50" t="s">
        <v>6461</v>
      </c>
      <c r="G2785" s="51" t="n">
        <v>995671800</v>
      </c>
      <c r="H2785" s="52" t="s">
        <v>6462</v>
      </c>
      <c r="I2785" s="52"/>
      <c r="J2785" s="1"/>
      <c r="K2785" s="1" t="s">
        <v>1156</v>
      </c>
      <c r="L2785" s="1" t="s">
        <v>21</v>
      </c>
      <c r="M2785" s="1"/>
      <c r="N2785" s="1"/>
      <c r="O2785" s="1"/>
      <c r="P2785" s="6"/>
      <c r="Q2785" s="1"/>
      <c r="R2785" s="1"/>
      <c r="S2785" s="1"/>
      <c r="T2785" s="1"/>
      <c r="U2785" s="1"/>
      <c r="V2785" s="1"/>
      <c r="W2785" s="1"/>
      <c r="X2785" s="1"/>
      <c r="Y2785" s="1"/>
      <c r="Z2785" s="1"/>
    </row>
    <row r="2786" customFormat="false" ht="21.75" hidden="false" customHeight="true" outlineLevel="0" collapsed="false">
      <c r="A2786" s="4" t="n">
        <v>43501</v>
      </c>
      <c r="B2786" s="61" t="s">
        <v>48</v>
      </c>
      <c r="C2786" s="46" t="s">
        <v>15</v>
      </c>
      <c r="D2786" s="46" t="s">
        <v>43</v>
      </c>
      <c r="E2786" s="46" t="s">
        <v>44</v>
      </c>
      <c r="F2786" s="50" t="s">
        <v>6463</v>
      </c>
      <c r="G2786" s="51" t="n">
        <v>959521222</v>
      </c>
      <c r="H2786" s="52" t="s">
        <v>6464</v>
      </c>
      <c r="I2786" s="52"/>
      <c r="J2786" s="1"/>
      <c r="K2786" s="1" t="s">
        <v>1156</v>
      </c>
      <c r="L2786" s="1" t="s">
        <v>6465</v>
      </c>
      <c r="M2786" s="1"/>
      <c r="N2786" s="1"/>
      <c r="O2786" s="1"/>
      <c r="P2786" s="6"/>
      <c r="Q2786" s="1"/>
      <c r="R2786" s="1"/>
      <c r="S2786" s="1"/>
      <c r="T2786" s="1"/>
      <c r="U2786" s="1"/>
      <c r="V2786" s="1"/>
      <c r="W2786" s="1"/>
      <c r="X2786" s="1"/>
      <c r="Y2786" s="1"/>
      <c r="Z2786" s="1"/>
    </row>
    <row r="2787" customFormat="false" ht="21.75" hidden="false" customHeight="true" outlineLevel="0" collapsed="false">
      <c r="A2787" s="4" t="n">
        <v>43501</v>
      </c>
      <c r="B2787" s="61" t="s">
        <v>352</v>
      </c>
      <c r="C2787" s="46" t="s">
        <v>15</v>
      </c>
      <c r="D2787" s="46" t="s">
        <v>43</v>
      </c>
      <c r="E2787" s="46" t="s">
        <v>109</v>
      </c>
      <c r="F2787" s="50" t="s">
        <v>6466</v>
      </c>
      <c r="G2787" s="51" t="n">
        <v>969350811</v>
      </c>
      <c r="H2787" s="52" t="s">
        <v>6467</v>
      </c>
      <c r="I2787" s="52"/>
      <c r="J2787" s="1"/>
      <c r="K2787" s="1" t="s">
        <v>6468</v>
      </c>
      <c r="L2787" s="1"/>
      <c r="M2787" s="1"/>
      <c r="N2787" s="1"/>
      <c r="O2787" s="1"/>
      <c r="P2787" s="6"/>
      <c r="Q2787" s="1"/>
      <c r="R2787" s="1"/>
      <c r="S2787" s="1"/>
      <c r="T2787" s="1"/>
      <c r="U2787" s="1"/>
      <c r="V2787" s="1"/>
      <c r="W2787" s="1"/>
      <c r="X2787" s="1"/>
      <c r="Y2787" s="1"/>
      <c r="Z2787" s="1"/>
    </row>
    <row r="2788" customFormat="false" ht="21.75" hidden="false" customHeight="true" outlineLevel="0" collapsed="false">
      <c r="A2788" s="4" t="n">
        <v>43501</v>
      </c>
      <c r="B2788" s="61" t="s">
        <v>48</v>
      </c>
      <c r="C2788" s="46" t="s">
        <v>15</v>
      </c>
      <c r="D2788" s="46" t="s">
        <v>43</v>
      </c>
      <c r="E2788" s="46" t="s">
        <v>44</v>
      </c>
      <c r="F2788" s="50" t="s">
        <v>6469</v>
      </c>
      <c r="G2788" s="51" t="n">
        <v>991575515</v>
      </c>
      <c r="H2788" s="52" t="s">
        <v>6470</v>
      </c>
      <c r="I2788" s="52"/>
      <c r="J2788" s="1"/>
      <c r="K2788" s="1" t="s">
        <v>2714</v>
      </c>
      <c r="L2788" s="1"/>
      <c r="M2788" s="1"/>
      <c r="N2788" s="1"/>
      <c r="O2788" s="1"/>
      <c r="P2788" s="6"/>
      <c r="Q2788" s="1"/>
      <c r="R2788" s="1"/>
      <c r="S2788" s="1"/>
      <c r="T2788" s="1"/>
      <c r="U2788" s="1"/>
      <c r="V2788" s="1"/>
      <c r="W2788" s="1"/>
      <c r="X2788" s="1"/>
      <c r="Y2788" s="1"/>
      <c r="Z2788" s="1"/>
    </row>
    <row r="2789" customFormat="false" ht="21.75" hidden="false" customHeight="true" outlineLevel="0" collapsed="false">
      <c r="A2789" s="4" t="n">
        <v>43501</v>
      </c>
      <c r="B2789" s="61" t="s">
        <v>127</v>
      </c>
      <c r="C2789" s="46" t="s">
        <v>15</v>
      </c>
      <c r="D2789" s="46" t="s">
        <v>43</v>
      </c>
      <c r="E2789" s="46" t="s">
        <v>44</v>
      </c>
      <c r="F2789" s="50" t="s">
        <v>6471</v>
      </c>
      <c r="G2789" s="51" t="n">
        <v>995031658</v>
      </c>
      <c r="H2789" s="52" t="s">
        <v>6472</v>
      </c>
      <c r="I2789" s="52"/>
      <c r="J2789" s="1"/>
      <c r="K2789" s="1" t="s">
        <v>3372</v>
      </c>
      <c r="L2789" s="1" t="s">
        <v>21</v>
      </c>
      <c r="M2789" s="1"/>
      <c r="N2789" s="1"/>
      <c r="O2789" s="1"/>
      <c r="P2789" s="6"/>
      <c r="Q2789" s="1"/>
      <c r="R2789" s="1"/>
      <c r="S2789" s="1"/>
      <c r="T2789" s="1"/>
      <c r="U2789" s="1"/>
      <c r="V2789" s="1"/>
      <c r="W2789" s="1"/>
      <c r="X2789" s="1"/>
      <c r="Y2789" s="1"/>
      <c r="Z2789" s="1"/>
    </row>
    <row r="2790" customFormat="false" ht="21.75" hidden="false" customHeight="true" outlineLevel="0" collapsed="false">
      <c r="A2790" s="4" t="n">
        <v>43502</v>
      </c>
      <c r="B2790" s="46" t="s">
        <v>1114</v>
      </c>
      <c r="C2790" s="46" t="s">
        <v>26</v>
      </c>
      <c r="D2790" s="46" t="s">
        <v>43</v>
      </c>
      <c r="E2790" s="46" t="s">
        <v>883</v>
      </c>
      <c r="F2790" s="46" t="s">
        <v>6473</v>
      </c>
      <c r="G2790" s="46" t="n">
        <f aca="false">+593939532403</f>
        <v>593939532403</v>
      </c>
      <c r="H2790" s="46" t="s">
        <v>6474</v>
      </c>
      <c r="I2790" s="46"/>
      <c r="J2790" s="1"/>
      <c r="K2790" s="1" t="s">
        <v>6475</v>
      </c>
      <c r="L2790" s="1"/>
      <c r="M2790" s="1"/>
      <c r="N2790" s="1"/>
      <c r="O2790" s="1"/>
      <c r="P2790" s="6"/>
      <c r="Q2790" s="1"/>
      <c r="R2790" s="1"/>
      <c r="S2790" s="1"/>
      <c r="T2790" s="1"/>
      <c r="U2790" s="1"/>
      <c r="V2790" s="1"/>
      <c r="W2790" s="1"/>
      <c r="X2790" s="1"/>
      <c r="Y2790" s="1"/>
      <c r="Z2790" s="1"/>
    </row>
    <row r="2791" customFormat="false" ht="21.75" hidden="false" customHeight="true" outlineLevel="0" collapsed="false">
      <c r="A2791" s="4" t="n">
        <v>43502</v>
      </c>
      <c r="B2791" s="46" t="s">
        <v>48</v>
      </c>
      <c r="C2791" s="46" t="s">
        <v>15</v>
      </c>
      <c r="D2791" s="46" t="s">
        <v>43</v>
      </c>
      <c r="E2791" s="46" t="s">
        <v>883</v>
      </c>
      <c r="F2791" s="46" t="s">
        <v>6476</v>
      </c>
      <c r="G2791" s="46" t="n">
        <f aca="false">+593997098039</f>
        <v>593997098039</v>
      </c>
      <c r="H2791" s="46" t="s">
        <v>6477</v>
      </c>
      <c r="I2791" s="46"/>
      <c r="J2791" s="1"/>
      <c r="K2791" s="1" t="s">
        <v>6478</v>
      </c>
      <c r="L2791" s="1"/>
      <c r="M2791" s="1"/>
      <c r="N2791" s="1"/>
      <c r="O2791" s="1"/>
      <c r="P2791" s="6"/>
      <c r="Q2791" s="1"/>
      <c r="R2791" s="1"/>
      <c r="S2791" s="1"/>
      <c r="T2791" s="1"/>
      <c r="U2791" s="1"/>
      <c r="V2791" s="1"/>
      <c r="W2791" s="1"/>
      <c r="X2791" s="1"/>
      <c r="Y2791" s="1"/>
      <c r="Z2791" s="1"/>
    </row>
    <row r="2792" customFormat="false" ht="21.75" hidden="false" customHeight="true" outlineLevel="0" collapsed="false">
      <c r="A2792" s="4" t="n">
        <v>43502</v>
      </c>
      <c r="B2792" s="46" t="s">
        <v>48</v>
      </c>
      <c r="C2792" s="46" t="s">
        <v>15</v>
      </c>
      <c r="D2792" s="46" t="s">
        <v>43</v>
      </c>
      <c r="E2792" s="46" t="s">
        <v>883</v>
      </c>
      <c r="F2792" s="46" t="s">
        <v>6479</v>
      </c>
      <c r="G2792" s="46" t="n">
        <f aca="false">+593994358521</f>
        <v>593994358521</v>
      </c>
      <c r="H2792" s="46" t="s">
        <v>6480</v>
      </c>
      <c r="I2792" s="46"/>
      <c r="J2792" s="1"/>
      <c r="K2792" s="1" t="s">
        <v>6481</v>
      </c>
      <c r="L2792" s="1"/>
      <c r="M2792" s="1"/>
      <c r="N2792" s="1"/>
      <c r="O2792" s="1"/>
      <c r="P2792" s="6"/>
      <c r="Q2792" s="1"/>
      <c r="R2792" s="1"/>
      <c r="S2792" s="1"/>
      <c r="T2792" s="1"/>
      <c r="U2792" s="1"/>
      <c r="V2792" s="1"/>
      <c r="W2792" s="1"/>
      <c r="X2792" s="1"/>
      <c r="Y2792" s="1"/>
      <c r="Z2792" s="1"/>
    </row>
    <row r="2793" customFormat="false" ht="21.75" hidden="false" customHeight="true" outlineLevel="0" collapsed="false">
      <c r="A2793" s="4" t="n">
        <v>43502</v>
      </c>
      <c r="B2793" s="46" t="s">
        <v>352</v>
      </c>
      <c r="C2793" s="46" t="s">
        <v>26</v>
      </c>
      <c r="D2793" s="46" t="s">
        <v>43</v>
      </c>
      <c r="E2793" s="46" t="s">
        <v>883</v>
      </c>
      <c r="F2793" s="46" t="s">
        <v>6482</v>
      </c>
      <c r="G2793" s="46" t="n">
        <f aca="false">+593984923715</f>
        <v>593984923715</v>
      </c>
      <c r="H2793" s="46" t="s">
        <v>6483</v>
      </c>
      <c r="I2793" s="46"/>
      <c r="J2793" s="1"/>
      <c r="K2793" s="1" t="s">
        <v>1156</v>
      </c>
      <c r="L2793" s="1" t="s">
        <v>6484</v>
      </c>
      <c r="M2793" s="1"/>
      <c r="N2793" s="1"/>
      <c r="O2793" s="1"/>
      <c r="P2793" s="6"/>
      <c r="Q2793" s="1"/>
      <c r="R2793" s="1"/>
      <c r="S2793" s="1"/>
      <c r="T2793" s="1"/>
      <c r="U2793" s="1"/>
      <c r="V2793" s="1"/>
      <c r="W2793" s="1"/>
      <c r="X2793" s="1"/>
      <c r="Y2793" s="1"/>
      <c r="Z2793" s="1"/>
    </row>
    <row r="2794" customFormat="false" ht="21.75" hidden="false" customHeight="true" outlineLevel="0" collapsed="false">
      <c r="A2794" s="4" t="n">
        <v>43502</v>
      </c>
      <c r="B2794" s="46" t="s">
        <v>1114</v>
      </c>
      <c r="C2794" s="46" t="s">
        <v>15</v>
      </c>
      <c r="D2794" s="46" t="s">
        <v>43</v>
      </c>
      <c r="E2794" s="46" t="s">
        <v>883</v>
      </c>
      <c r="F2794" s="46" t="s">
        <v>6485</v>
      </c>
      <c r="G2794" s="46" t="n">
        <f aca="false">+593984287410</f>
        <v>593984287410</v>
      </c>
      <c r="H2794" s="46" t="s">
        <v>6486</v>
      </c>
      <c r="I2794" s="46"/>
      <c r="J2794" s="1"/>
      <c r="K2794" s="1" t="s">
        <v>1156</v>
      </c>
      <c r="L2794" s="1" t="s">
        <v>6487</v>
      </c>
      <c r="M2794" s="1"/>
      <c r="N2794" s="1"/>
      <c r="O2794" s="1"/>
      <c r="P2794" s="6"/>
      <c r="Q2794" s="1"/>
      <c r="R2794" s="1"/>
      <c r="S2794" s="1"/>
      <c r="T2794" s="1"/>
      <c r="U2794" s="1"/>
      <c r="V2794" s="1"/>
      <c r="W2794" s="1"/>
      <c r="X2794" s="1"/>
      <c r="Y2794" s="1"/>
      <c r="Z2794" s="1"/>
    </row>
    <row r="2795" customFormat="false" ht="21.75" hidden="false" customHeight="true" outlineLevel="0" collapsed="false">
      <c r="A2795" s="4" t="n">
        <v>43502</v>
      </c>
      <c r="B2795" s="46" t="s">
        <v>352</v>
      </c>
      <c r="C2795" s="46" t="s">
        <v>15</v>
      </c>
      <c r="D2795" s="46" t="s">
        <v>43</v>
      </c>
      <c r="E2795" s="46" t="s">
        <v>883</v>
      </c>
      <c r="F2795" s="46" t="s">
        <v>6488</v>
      </c>
      <c r="G2795" s="46" t="n">
        <f aca="false">+593982731761</f>
        <v>593982731761</v>
      </c>
      <c r="H2795" s="46" t="s">
        <v>6489</v>
      </c>
      <c r="I2795" s="46"/>
      <c r="J2795" s="1"/>
      <c r="K2795" s="1" t="s">
        <v>6478</v>
      </c>
      <c r="L2795" s="1"/>
      <c r="M2795" s="1"/>
      <c r="N2795" s="1"/>
      <c r="O2795" s="1"/>
      <c r="P2795" s="6"/>
      <c r="Q2795" s="1"/>
      <c r="R2795" s="1"/>
      <c r="S2795" s="1"/>
      <c r="T2795" s="1"/>
      <c r="U2795" s="1"/>
      <c r="V2795" s="1"/>
      <c r="W2795" s="1"/>
      <c r="X2795" s="1"/>
      <c r="Y2795" s="1"/>
      <c r="Z2795" s="1"/>
    </row>
    <row r="2796" customFormat="false" ht="21.75" hidden="false" customHeight="true" outlineLevel="0" collapsed="false">
      <c r="A2796" s="4" t="n">
        <v>43502</v>
      </c>
      <c r="B2796" s="46" t="s">
        <v>48</v>
      </c>
      <c r="C2796" s="46" t="s">
        <v>26</v>
      </c>
      <c r="D2796" s="46" t="s">
        <v>43</v>
      </c>
      <c r="E2796" s="46" t="s">
        <v>883</v>
      </c>
      <c r="F2796" s="46" t="s">
        <v>6490</v>
      </c>
      <c r="G2796" s="46" t="n">
        <f aca="false">+593998454163</f>
        <v>593998454163</v>
      </c>
      <c r="H2796" s="46" t="s">
        <v>6491</v>
      </c>
      <c r="I2796" s="46"/>
      <c r="J2796" s="1"/>
      <c r="K2796" s="1" t="s">
        <v>5481</v>
      </c>
      <c r="L2796" s="1" t="s">
        <v>6492</v>
      </c>
      <c r="M2796" s="1"/>
      <c r="N2796" s="1"/>
      <c r="O2796" s="1"/>
      <c r="P2796" s="6"/>
      <c r="Q2796" s="1"/>
      <c r="R2796" s="1"/>
      <c r="S2796" s="1"/>
      <c r="T2796" s="1"/>
      <c r="U2796" s="1"/>
      <c r="V2796" s="1"/>
      <c r="W2796" s="1"/>
      <c r="X2796" s="1"/>
      <c r="Y2796" s="1"/>
      <c r="Z2796" s="1"/>
    </row>
    <row r="2797" customFormat="false" ht="21.75" hidden="false" customHeight="true" outlineLevel="0" collapsed="false">
      <c r="A2797" s="4" t="n">
        <v>43502</v>
      </c>
      <c r="B2797" s="46" t="s">
        <v>1114</v>
      </c>
      <c r="C2797" s="46" t="s">
        <v>15</v>
      </c>
      <c r="D2797" s="46" t="s">
        <v>43</v>
      </c>
      <c r="E2797" s="46" t="s">
        <v>883</v>
      </c>
      <c r="F2797" s="46" t="s">
        <v>6493</v>
      </c>
      <c r="G2797" s="46" t="n">
        <f aca="false">+5930994984797</f>
        <v>5930994984797</v>
      </c>
      <c r="H2797" s="46" t="s">
        <v>6494</v>
      </c>
      <c r="I2797" s="46"/>
      <c r="J2797" s="1"/>
      <c r="K2797" s="1" t="s">
        <v>1156</v>
      </c>
      <c r="L2797" s="1"/>
      <c r="M2797" s="1"/>
      <c r="N2797" s="1"/>
      <c r="O2797" s="1"/>
      <c r="P2797" s="6"/>
      <c r="Q2797" s="1"/>
      <c r="R2797" s="1"/>
      <c r="S2797" s="1"/>
      <c r="T2797" s="1"/>
      <c r="U2797" s="1"/>
      <c r="V2797" s="1"/>
      <c r="W2797" s="1"/>
      <c r="X2797" s="1"/>
      <c r="Y2797" s="1"/>
      <c r="Z2797" s="1"/>
    </row>
    <row r="2798" customFormat="false" ht="21.75" hidden="false" customHeight="true" outlineLevel="0" collapsed="false">
      <c r="A2798" s="4" t="n">
        <v>43502</v>
      </c>
      <c r="B2798" s="46" t="s">
        <v>352</v>
      </c>
      <c r="C2798" s="46" t="s">
        <v>15</v>
      </c>
      <c r="D2798" s="46" t="s">
        <v>43</v>
      </c>
      <c r="E2798" s="46" t="s">
        <v>883</v>
      </c>
      <c r="F2798" s="46" t="s">
        <v>6495</v>
      </c>
      <c r="G2798" s="46" t="n">
        <f aca="false">+593989473116</f>
        <v>593989473116</v>
      </c>
      <c r="H2798" s="46" t="s">
        <v>6496</v>
      </c>
      <c r="I2798" s="46"/>
      <c r="J2798" s="1"/>
      <c r="K2798" s="1" t="s">
        <v>1156</v>
      </c>
      <c r="L2798" s="1"/>
      <c r="M2798" s="1"/>
      <c r="N2798" s="1"/>
      <c r="O2798" s="1"/>
      <c r="P2798" s="6"/>
      <c r="Q2798" s="1"/>
      <c r="R2798" s="1"/>
      <c r="S2798" s="1"/>
      <c r="T2798" s="1"/>
      <c r="U2798" s="1"/>
      <c r="V2798" s="1"/>
      <c r="W2798" s="1"/>
      <c r="X2798" s="1"/>
      <c r="Y2798" s="1"/>
      <c r="Z2798" s="1"/>
    </row>
    <row r="2799" customFormat="false" ht="21.75" hidden="false" customHeight="true" outlineLevel="0" collapsed="false">
      <c r="A2799" s="4" t="n">
        <v>43502</v>
      </c>
      <c r="B2799" s="46" t="s">
        <v>48</v>
      </c>
      <c r="C2799" s="46" t="s">
        <v>26</v>
      </c>
      <c r="D2799" s="46" t="s">
        <v>43</v>
      </c>
      <c r="E2799" s="46" t="s">
        <v>883</v>
      </c>
      <c r="F2799" s="46" t="s">
        <v>6497</v>
      </c>
      <c r="G2799" s="46" t="n">
        <f aca="false">+5930986241653</f>
        <v>5930986241653</v>
      </c>
      <c r="H2799" s="46" t="s">
        <v>6498</v>
      </c>
      <c r="I2799" s="46"/>
      <c r="J2799" s="1"/>
      <c r="K2799" s="1" t="s">
        <v>6499</v>
      </c>
      <c r="L2799" s="1"/>
      <c r="M2799" s="1"/>
      <c r="N2799" s="1"/>
      <c r="O2799" s="1"/>
      <c r="P2799" s="6"/>
      <c r="Q2799" s="1"/>
      <c r="R2799" s="1"/>
      <c r="S2799" s="1"/>
      <c r="T2799" s="1"/>
      <c r="U2799" s="1"/>
      <c r="V2799" s="1"/>
      <c r="W2799" s="1"/>
      <c r="X2799" s="1"/>
      <c r="Y2799" s="1"/>
      <c r="Z2799" s="1"/>
    </row>
    <row r="2800" customFormat="false" ht="21.75" hidden="false" customHeight="true" outlineLevel="0" collapsed="false">
      <c r="A2800" s="4" t="n">
        <v>43502</v>
      </c>
      <c r="B2800" s="46" t="s">
        <v>1114</v>
      </c>
      <c r="C2800" s="46" t="s">
        <v>15</v>
      </c>
      <c r="D2800" s="46" t="s">
        <v>43</v>
      </c>
      <c r="E2800" s="46" t="s">
        <v>883</v>
      </c>
      <c r="F2800" s="46" t="s">
        <v>6500</v>
      </c>
      <c r="G2800" s="46" t="n">
        <f aca="false">+5930984797238</f>
        <v>5930984797238</v>
      </c>
      <c r="H2800" s="46" t="s">
        <v>6501</v>
      </c>
      <c r="I2800" s="46"/>
      <c r="J2800" s="1"/>
      <c r="K2800" s="1" t="s">
        <v>1156</v>
      </c>
      <c r="L2800" s="1"/>
      <c r="M2800" s="1"/>
      <c r="N2800" s="1"/>
      <c r="O2800" s="1"/>
      <c r="P2800" s="6"/>
      <c r="Q2800" s="1"/>
      <c r="R2800" s="1"/>
      <c r="S2800" s="1"/>
      <c r="T2800" s="1"/>
      <c r="U2800" s="1"/>
      <c r="V2800" s="1"/>
      <c r="W2800" s="1"/>
      <c r="X2800" s="1"/>
      <c r="Y2800" s="1"/>
      <c r="Z2800" s="1"/>
    </row>
    <row r="2801" customFormat="false" ht="21.75" hidden="false" customHeight="true" outlineLevel="0" collapsed="false">
      <c r="A2801" s="4" t="n">
        <v>43502</v>
      </c>
      <c r="B2801" s="46" t="s">
        <v>1114</v>
      </c>
      <c r="C2801" s="46" t="s">
        <v>15</v>
      </c>
      <c r="D2801" s="46" t="s">
        <v>43</v>
      </c>
      <c r="E2801" s="46" t="s">
        <v>109</v>
      </c>
      <c r="F2801" s="46" t="s">
        <v>6502</v>
      </c>
      <c r="G2801" s="46" t="n">
        <f aca="false">+593981395603</f>
        <v>593981395603</v>
      </c>
      <c r="H2801" s="46" t="s">
        <v>6503</v>
      </c>
      <c r="I2801" s="46"/>
      <c r="J2801" s="1"/>
      <c r="K2801" s="1" t="s">
        <v>6504</v>
      </c>
      <c r="L2801" s="1"/>
      <c r="M2801" s="1"/>
      <c r="N2801" s="1"/>
      <c r="O2801" s="1"/>
      <c r="P2801" s="6"/>
      <c r="Q2801" s="1"/>
      <c r="R2801" s="1"/>
      <c r="S2801" s="1"/>
      <c r="T2801" s="1"/>
      <c r="U2801" s="1"/>
      <c r="V2801" s="1"/>
      <c r="W2801" s="1"/>
      <c r="X2801" s="1"/>
      <c r="Y2801" s="1"/>
      <c r="Z2801" s="1"/>
    </row>
    <row r="2802" customFormat="false" ht="21.75" hidden="false" customHeight="true" outlineLevel="0" collapsed="false">
      <c r="A2802" s="4" t="n">
        <v>43502</v>
      </c>
      <c r="B2802" s="46" t="s">
        <v>48</v>
      </c>
      <c r="C2802" s="46" t="s">
        <v>15</v>
      </c>
      <c r="D2802" s="46" t="s">
        <v>43</v>
      </c>
      <c r="E2802" s="46" t="s">
        <v>109</v>
      </c>
      <c r="F2802" s="46" t="s">
        <v>6505</v>
      </c>
      <c r="G2802" s="46" t="n">
        <f aca="false">+593989754251</f>
        <v>593989754251</v>
      </c>
      <c r="H2802" s="46" t="s">
        <v>6506</v>
      </c>
      <c r="I2802" s="46"/>
      <c r="J2802" s="1"/>
      <c r="K2802" s="1" t="s">
        <v>6478</v>
      </c>
      <c r="L2802" s="1"/>
      <c r="M2802" s="1"/>
      <c r="N2802" s="1"/>
      <c r="O2802" s="1"/>
      <c r="P2802" s="6"/>
      <c r="Q2802" s="1"/>
      <c r="R2802" s="1"/>
      <c r="S2802" s="1"/>
      <c r="T2802" s="1"/>
      <c r="U2802" s="1"/>
      <c r="V2802" s="1"/>
      <c r="W2802" s="1"/>
      <c r="X2802" s="1"/>
      <c r="Y2802" s="1"/>
      <c r="Z2802" s="1"/>
    </row>
    <row r="2803" customFormat="false" ht="21.75" hidden="false" customHeight="true" outlineLevel="0" collapsed="false">
      <c r="A2803" s="4" t="n">
        <v>43502</v>
      </c>
      <c r="B2803" s="46" t="s">
        <v>352</v>
      </c>
      <c r="C2803" s="46" t="s">
        <v>15</v>
      </c>
      <c r="D2803" s="46" t="s">
        <v>43</v>
      </c>
      <c r="E2803" s="46" t="s">
        <v>109</v>
      </c>
      <c r="F2803" s="46" t="s">
        <v>6507</v>
      </c>
      <c r="G2803" s="46" t="n">
        <f aca="false">+593978728757</f>
        <v>593978728757</v>
      </c>
      <c r="H2803" s="46" t="s">
        <v>6508</v>
      </c>
      <c r="I2803" s="46"/>
      <c r="J2803" s="1"/>
      <c r="K2803" s="1" t="s">
        <v>5481</v>
      </c>
      <c r="L2803" s="1"/>
      <c r="M2803" s="1"/>
      <c r="N2803" s="1"/>
      <c r="O2803" s="1"/>
      <c r="P2803" s="6"/>
      <c r="Q2803" s="1"/>
      <c r="R2803" s="1"/>
      <c r="S2803" s="1"/>
      <c r="T2803" s="1"/>
      <c r="U2803" s="1"/>
      <c r="V2803" s="1"/>
      <c r="W2803" s="1"/>
      <c r="X2803" s="1"/>
      <c r="Y2803" s="1"/>
      <c r="Z2803" s="1"/>
    </row>
    <row r="2804" customFormat="false" ht="21.75" hidden="false" customHeight="true" outlineLevel="0" collapsed="false">
      <c r="A2804" s="4" t="n">
        <v>43502</v>
      </c>
      <c r="B2804" s="46" t="s">
        <v>415</v>
      </c>
      <c r="C2804" s="46" t="s">
        <v>15</v>
      </c>
      <c r="D2804" s="46" t="s">
        <v>43</v>
      </c>
      <c r="E2804" s="46" t="s">
        <v>109</v>
      </c>
      <c r="F2804" s="46" t="s">
        <v>6509</v>
      </c>
      <c r="G2804" s="46" t="n">
        <f aca="false">+593985740885</f>
        <v>593985740885</v>
      </c>
      <c r="H2804" s="46" t="s">
        <v>6510</v>
      </c>
      <c r="I2804" s="46"/>
      <c r="J2804" s="1"/>
      <c r="K2804" s="1" t="s">
        <v>6511</v>
      </c>
      <c r="L2804" s="1"/>
      <c r="M2804" s="1"/>
      <c r="N2804" s="1"/>
      <c r="O2804" s="1"/>
      <c r="P2804" s="6"/>
      <c r="Q2804" s="1"/>
      <c r="R2804" s="1"/>
      <c r="S2804" s="1"/>
      <c r="T2804" s="1"/>
      <c r="U2804" s="1"/>
      <c r="V2804" s="1"/>
      <c r="W2804" s="1"/>
      <c r="X2804" s="1"/>
      <c r="Y2804" s="1"/>
      <c r="Z2804" s="1"/>
    </row>
    <row r="2805" customFormat="false" ht="21.75" hidden="false" customHeight="true" outlineLevel="0" collapsed="false">
      <c r="A2805" s="4" t="n">
        <v>43502</v>
      </c>
      <c r="B2805" s="46" t="s">
        <v>81</v>
      </c>
      <c r="C2805" s="46" t="s">
        <v>15</v>
      </c>
      <c r="D2805" s="46" t="s">
        <v>43</v>
      </c>
      <c r="E2805" s="46" t="s">
        <v>109</v>
      </c>
      <c r="F2805" s="46" t="s">
        <v>6512</v>
      </c>
      <c r="G2805" s="57" t="n">
        <v>990661031</v>
      </c>
      <c r="H2805" s="46" t="s">
        <v>6513</v>
      </c>
      <c r="I2805" s="46"/>
      <c r="J2805" s="1"/>
      <c r="K2805" s="1" t="s">
        <v>6514</v>
      </c>
      <c r="L2805" s="1"/>
      <c r="M2805" s="1"/>
      <c r="N2805" s="1"/>
      <c r="O2805" s="1"/>
      <c r="P2805" s="6"/>
      <c r="Q2805" s="1"/>
      <c r="R2805" s="1"/>
      <c r="S2805" s="1"/>
      <c r="T2805" s="1"/>
      <c r="U2805" s="1"/>
      <c r="V2805" s="1"/>
      <c r="W2805" s="1"/>
      <c r="X2805" s="1"/>
      <c r="Y2805" s="1"/>
      <c r="Z2805" s="1"/>
    </row>
    <row r="2806" customFormat="false" ht="21.75" hidden="false" customHeight="true" outlineLevel="0" collapsed="false">
      <c r="A2806" s="4" t="n">
        <v>43502</v>
      </c>
      <c r="B2806" s="46" t="s">
        <v>48</v>
      </c>
      <c r="C2806" s="46" t="s">
        <v>15</v>
      </c>
      <c r="D2806" s="46" t="s">
        <v>43</v>
      </c>
      <c r="E2806" s="46" t="s">
        <v>109</v>
      </c>
      <c r="F2806" s="46" t="s">
        <v>6515</v>
      </c>
      <c r="G2806" s="46" t="n">
        <f aca="false">+5930995493783</f>
        <v>5930995493783</v>
      </c>
      <c r="H2806" s="46" t="s">
        <v>6516</v>
      </c>
      <c r="I2806" s="46"/>
      <c r="J2806" s="1"/>
      <c r="K2806" s="1" t="s">
        <v>1156</v>
      </c>
      <c r="L2806" s="1"/>
      <c r="M2806" s="1"/>
      <c r="N2806" s="1"/>
      <c r="O2806" s="1"/>
      <c r="P2806" s="6"/>
      <c r="Q2806" s="1"/>
      <c r="R2806" s="1"/>
      <c r="S2806" s="1"/>
      <c r="T2806" s="1"/>
      <c r="U2806" s="1"/>
      <c r="V2806" s="1"/>
      <c r="W2806" s="1"/>
      <c r="X2806" s="1"/>
      <c r="Y2806" s="1"/>
      <c r="Z2806" s="1"/>
    </row>
    <row r="2807" customFormat="false" ht="21.75" hidden="false" customHeight="true" outlineLevel="0" collapsed="false">
      <c r="A2807" s="4" t="n">
        <v>43502</v>
      </c>
      <c r="B2807" s="46" t="s">
        <v>42</v>
      </c>
      <c r="C2807" s="46" t="s">
        <v>15</v>
      </c>
      <c r="D2807" s="46" t="s">
        <v>43</v>
      </c>
      <c r="E2807" s="46" t="s">
        <v>109</v>
      </c>
      <c r="F2807" s="46" t="s">
        <v>6517</v>
      </c>
      <c r="G2807" s="46" t="n">
        <f aca="false">+593988578008</f>
        <v>593988578008</v>
      </c>
      <c r="H2807" s="46" t="s">
        <v>6518</v>
      </c>
      <c r="I2807" s="46"/>
      <c r="J2807" s="1"/>
      <c r="K2807" s="1" t="s">
        <v>1156</v>
      </c>
      <c r="L2807" s="1"/>
      <c r="M2807" s="1"/>
      <c r="N2807" s="1"/>
      <c r="O2807" s="1"/>
      <c r="P2807" s="6"/>
      <c r="Q2807" s="1"/>
      <c r="R2807" s="1"/>
      <c r="S2807" s="1"/>
      <c r="T2807" s="1"/>
      <c r="U2807" s="1"/>
      <c r="V2807" s="1"/>
      <c r="W2807" s="1"/>
      <c r="X2807" s="1"/>
      <c r="Y2807" s="1"/>
      <c r="Z2807" s="1"/>
    </row>
    <row r="2808" customFormat="false" ht="21.75" hidden="false" customHeight="true" outlineLevel="0" collapsed="false">
      <c r="A2808" s="4" t="n">
        <v>43502</v>
      </c>
      <c r="B2808" s="46" t="s">
        <v>323</v>
      </c>
      <c r="C2808" s="46" t="s">
        <v>15</v>
      </c>
      <c r="D2808" s="46" t="s">
        <v>43</v>
      </c>
      <c r="E2808" s="46" t="s">
        <v>109</v>
      </c>
      <c r="F2808" s="46" t="s">
        <v>6519</v>
      </c>
      <c r="G2808" s="46" t="n">
        <f aca="false">+593987701485</f>
        <v>593987701485</v>
      </c>
      <c r="H2808" s="46" t="s">
        <v>6520</v>
      </c>
      <c r="I2808" s="46"/>
      <c r="J2808" s="1"/>
      <c r="K2808" s="1" t="s">
        <v>6521</v>
      </c>
      <c r="L2808" s="1"/>
      <c r="M2808" s="1"/>
      <c r="N2808" s="1"/>
      <c r="O2808" s="1"/>
      <c r="P2808" s="6"/>
      <c r="Q2808" s="1"/>
      <c r="R2808" s="1"/>
      <c r="S2808" s="1"/>
      <c r="T2808" s="1"/>
      <c r="U2808" s="1"/>
      <c r="V2808" s="1"/>
      <c r="W2808" s="1"/>
      <c r="X2808" s="1"/>
      <c r="Y2808" s="1"/>
      <c r="Z2808" s="1"/>
    </row>
    <row r="2809" customFormat="false" ht="21.75" hidden="false" customHeight="true" outlineLevel="0" collapsed="false">
      <c r="A2809" s="4" t="n">
        <v>43502</v>
      </c>
      <c r="B2809" s="46" t="s">
        <v>1478</v>
      </c>
      <c r="C2809" s="46" t="s">
        <v>15</v>
      </c>
      <c r="D2809" s="46" t="s">
        <v>43</v>
      </c>
      <c r="E2809" s="46" t="s">
        <v>109</v>
      </c>
      <c r="F2809" s="46" t="s">
        <v>6522</v>
      </c>
      <c r="G2809" s="46" t="n">
        <f aca="false">+5930989211453</f>
        <v>5930989211453</v>
      </c>
      <c r="H2809" s="46" t="s">
        <v>6523</v>
      </c>
      <c r="I2809" s="46"/>
      <c r="J2809" s="1"/>
      <c r="K2809" s="1" t="s">
        <v>1156</v>
      </c>
      <c r="L2809" s="1" t="s">
        <v>1156</v>
      </c>
      <c r="M2809" s="1"/>
      <c r="N2809" s="1"/>
      <c r="O2809" s="1"/>
      <c r="P2809" s="6"/>
      <c r="Q2809" s="1"/>
      <c r="R2809" s="1"/>
      <c r="S2809" s="1"/>
      <c r="T2809" s="1"/>
      <c r="U2809" s="1"/>
      <c r="V2809" s="1"/>
      <c r="W2809" s="1"/>
      <c r="X2809" s="1"/>
      <c r="Y2809" s="1"/>
      <c r="Z2809" s="1"/>
    </row>
    <row r="2810" customFormat="false" ht="21.75" hidden="false" customHeight="true" outlineLevel="0" collapsed="false">
      <c r="A2810" s="4" t="n">
        <v>43502</v>
      </c>
      <c r="B2810" s="46" t="s">
        <v>352</v>
      </c>
      <c r="C2810" s="46" t="s">
        <v>15</v>
      </c>
      <c r="D2810" s="46" t="s">
        <v>43</v>
      </c>
      <c r="E2810" s="46" t="s">
        <v>109</v>
      </c>
      <c r="F2810" s="46" t="s">
        <v>6524</v>
      </c>
      <c r="G2810" s="46" t="n">
        <f aca="false">+593968353661</f>
        <v>593968353661</v>
      </c>
      <c r="H2810" s="46" t="s">
        <v>6525</v>
      </c>
      <c r="I2810" s="46"/>
      <c r="J2810" s="1"/>
      <c r="K2810" s="1" t="s">
        <v>6478</v>
      </c>
      <c r="L2810" s="1"/>
      <c r="M2810" s="1"/>
      <c r="N2810" s="1"/>
      <c r="O2810" s="1"/>
      <c r="P2810" s="6"/>
      <c r="Q2810" s="1"/>
      <c r="R2810" s="1"/>
      <c r="S2810" s="1"/>
      <c r="T2810" s="1"/>
      <c r="U2810" s="1"/>
      <c r="V2810" s="1"/>
      <c r="W2810" s="1"/>
      <c r="X2810" s="1"/>
      <c r="Y2810" s="1"/>
      <c r="Z2810" s="1"/>
    </row>
    <row r="2811" customFormat="false" ht="21.75" hidden="false" customHeight="true" outlineLevel="0" collapsed="false">
      <c r="A2811" s="4" t="n">
        <v>43502</v>
      </c>
      <c r="B2811" s="46" t="s">
        <v>415</v>
      </c>
      <c r="C2811" s="46" t="s">
        <v>15</v>
      </c>
      <c r="D2811" s="46" t="s">
        <v>43</v>
      </c>
      <c r="E2811" s="46" t="s">
        <v>109</v>
      </c>
      <c r="F2811" s="46" t="s">
        <v>6526</v>
      </c>
      <c r="G2811" s="46" t="n">
        <f aca="false">+593992263505</f>
        <v>593992263505</v>
      </c>
      <c r="H2811" s="46" t="s">
        <v>6527</v>
      </c>
      <c r="I2811" s="46"/>
      <c r="J2811" s="1"/>
      <c r="K2811" s="1" t="s">
        <v>1156</v>
      </c>
      <c r="L2811" s="1" t="s">
        <v>6528</v>
      </c>
      <c r="M2811" s="1"/>
      <c r="N2811" s="1"/>
      <c r="O2811" s="1"/>
      <c r="P2811" s="6"/>
      <c r="Q2811" s="1"/>
      <c r="R2811" s="1"/>
      <c r="S2811" s="1"/>
      <c r="T2811" s="1"/>
      <c r="U2811" s="1"/>
      <c r="V2811" s="1"/>
      <c r="W2811" s="1"/>
      <c r="X2811" s="1"/>
      <c r="Y2811" s="1"/>
      <c r="Z2811" s="1"/>
    </row>
    <row r="2812" customFormat="false" ht="21.75" hidden="false" customHeight="true" outlineLevel="0" collapsed="false">
      <c r="A2812" s="4" t="n">
        <v>43502</v>
      </c>
      <c r="B2812" s="46" t="s">
        <v>178</v>
      </c>
      <c r="C2812" s="46" t="s">
        <v>15</v>
      </c>
      <c r="D2812" s="46" t="s">
        <v>43</v>
      </c>
      <c r="E2812" s="46" t="s">
        <v>109</v>
      </c>
      <c r="F2812" s="46" t="s">
        <v>6529</v>
      </c>
      <c r="G2812" s="46" t="n">
        <f aca="false">+593996866663</f>
        <v>593996866663</v>
      </c>
      <c r="H2812" s="46" t="s">
        <v>6530</v>
      </c>
      <c r="I2812" s="46"/>
      <c r="J2812" s="1"/>
      <c r="K2812" s="1" t="s">
        <v>1156</v>
      </c>
      <c r="L2812" s="1" t="s">
        <v>1156</v>
      </c>
      <c r="M2812" s="1"/>
      <c r="N2812" s="1"/>
      <c r="O2812" s="1"/>
      <c r="P2812" s="6"/>
      <c r="Q2812" s="1"/>
      <c r="R2812" s="1"/>
      <c r="S2812" s="1"/>
      <c r="T2812" s="1"/>
      <c r="U2812" s="1"/>
      <c r="V2812" s="1"/>
      <c r="W2812" s="1"/>
      <c r="X2812" s="1"/>
      <c r="Y2812" s="1"/>
      <c r="Z2812" s="1"/>
    </row>
    <row r="2813" customFormat="false" ht="21.75" hidden="false" customHeight="true" outlineLevel="0" collapsed="false">
      <c r="A2813" s="4" t="n">
        <v>43502</v>
      </c>
      <c r="B2813" s="46" t="s">
        <v>1114</v>
      </c>
      <c r="C2813" s="46" t="s">
        <v>26</v>
      </c>
      <c r="D2813" s="46" t="s">
        <v>43</v>
      </c>
      <c r="E2813" s="46" t="s">
        <v>109</v>
      </c>
      <c r="F2813" s="46" t="s">
        <v>6531</v>
      </c>
      <c r="G2813" s="46" t="n">
        <f aca="false">+593995349286</f>
        <v>593995349286</v>
      </c>
      <c r="H2813" s="46" t="s">
        <v>6532</v>
      </c>
      <c r="I2813" s="46"/>
      <c r="J2813" s="1"/>
      <c r="K2813" s="1" t="s">
        <v>6533</v>
      </c>
      <c r="L2813" s="1"/>
      <c r="M2813" s="1"/>
      <c r="N2813" s="1"/>
      <c r="O2813" s="1"/>
      <c r="P2813" s="6"/>
      <c r="Q2813" s="1"/>
      <c r="R2813" s="1"/>
      <c r="S2813" s="1"/>
      <c r="T2813" s="1"/>
      <c r="U2813" s="1"/>
      <c r="V2813" s="1"/>
      <c r="W2813" s="1"/>
      <c r="X2813" s="1"/>
      <c r="Y2813" s="1"/>
      <c r="Z2813" s="1"/>
    </row>
    <row r="2814" customFormat="false" ht="21.75" hidden="false" customHeight="true" outlineLevel="0" collapsed="false">
      <c r="A2814" s="4" t="n">
        <v>43502</v>
      </c>
      <c r="B2814" s="46" t="s">
        <v>1478</v>
      </c>
      <c r="C2814" s="46" t="s">
        <v>15</v>
      </c>
      <c r="D2814" s="46" t="s">
        <v>43</v>
      </c>
      <c r="E2814" s="46" t="s">
        <v>109</v>
      </c>
      <c r="F2814" s="46" t="s">
        <v>6534</v>
      </c>
      <c r="G2814" s="46" t="n">
        <f aca="false">+593990633826</f>
        <v>593990633826</v>
      </c>
      <c r="H2814" s="46" t="s">
        <v>6535</v>
      </c>
      <c r="I2814" s="46"/>
      <c r="J2814" s="1"/>
      <c r="K2814" s="1" t="s">
        <v>1156</v>
      </c>
      <c r="L2814" s="1" t="s">
        <v>1156</v>
      </c>
      <c r="M2814" s="1"/>
      <c r="N2814" s="1"/>
      <c r="O2814" s="1"/>
      <c r="P2814" s="6"/>
      <c r="Q2814" s="1"/>
      <c r="R2814" s="1"/>
      <c r="S2814" s="1"/>
      <c r="T2814" s="1"/>
      <c r="U2814" s="1"/>
      <c r="V2814" s="1"/>
      <c r="W2814" s="1"/>
      <c r="X2814" s="1"/>
      <c r="Y2814" s="1"/>
      <c r="Z2814" s="1"/>
    </row>
    <row r="2815" customFormat="false" ht="21.75" hidden="false" customHeight="true" outlineLevel="0" collapsed="false">
      <c r="A2815" s="4" t="n">
        <v>43502</v>
      </c>
      <c r="B2815" s="46" t="s">
        <v>48</v>
      </c>
      <c r="C2815" s="46" t="s">
        <v>15</v>
      </c>
      <c r="D2815" s="46" t="s">
        <v>43</v>
      </c>
      <c r="E2815" s="46" t="s">
        <v>109</v>
      </c>
      <c r="F2815" s="46" t="s">
        <v>6536</v>
      </c>
      <c r="G2815" s="46" t="n">
        <f aca="false">+593984100727</f>
        <v>593984100727</v>
      </c>
      <c r="H2815" s="46" t="s">
        <v>6537</v>
      </c>
      <c r="I2815" s="46"/>
      <c r="J2815" s="1"/>
      <c r="K2815" s="1" t="s">
        <v>6478</v>
      </c>
      <c r="L2815" s="1"/>
      <c r="M2815" s="1"/>
      <c r="N2815" s="1"/>
      <c r="O2815" s="1"/>
      <c r="P2815" s="6"/>
      <c r="Q2815" s="1"/>
      <c r="R2815" s="1"/>
      <c r="S2815" s="1"/>
      <c r="T2815" s="1"/>
      <c r="U2815" s="1"/>
      <c r="V2815" s="1"/>
      <c r="W2815" s="1"/>
      <c r="X2815" s="1"/>
      <c r="Y2815" s="1"/>
      <c r="Z2815" s="1"/>
    </row>
    <row r="2816" customFormat="false" ht="21.75" hidden="false" customHeight="true" outlineLevel="0" collapsed="false">
      <c r="A2816" s="4" t="n">
        <v>43502</v>
      </c>
      <c r="B2816" s="46" t="s">
        <v>42</v>
      </c>
      <c r="C2816" s="46" t="s">
        <v>15</v>
      </c>
      <c r="D2816" s="46" t="s">
        <v>43</v>
      </c>
      <c r="E2816" s="46" t="s">
        <v>109</v>
      </c>
      <c r="F2816" s="46" t="s">
        <v>6538</v>
      </c>
      <c r="G2816" s="46" t="n">
        <f aca="false">+593981566602</f>
        <v>593981566602</v>
      </c>
      <c r="H2816" s="46" t="s">
        <v>6539</v>
      </c>
      <c r="I2816" s="46"/>
      <c r="J2816" s="1"/>
      <c r="K2816" s="1" t="s">
        <v>1156</v>
      </c>
      <c r="L2816" s="1" t="s">
        <v>6540</v>
      </c>
      <c r="M2816" s="1"/>
      <c r="N2816" s="1"/>
      <c r="O2816" s="1"/>
      <c r="P2816" s="6"/>
      <c r="Q2816" s="1"/>
      <c r="R2816" s="1"/>
      <c r="S2816" s="1"/>
      <c r="T2816" s="1"/>
      <c r="U2816" s="1"/>
      <c r="V2816" s="1"/>
      <c r="W2816" s="1"/>
      <c r="X2816" s="1"/>
      <c r="Y2816" s="1"/>
      <c r="Z2816" s="1"/>
    </row>
    <row r="2817" customFormat="false" ht="21.75" hidden="false" customHeight="true" outlineLevel="0" collapsed="false">
      <c r="A2817" s="4" t="n">
        <v>43502</v>
      </c>
      <c r="B2817" s="46" t="s">
        <v>127</v>
      </c>
      <c r="C2817" s="46" t="s">
        <v>15</v>
      </c>
      <c r="D2817" s="46" t="s">
        <v>43</v>
      </c>
      <c r="E2817" s="46" t="s">
        <v>109</v>
      </c>
      <c r="F2817" s="46" t="s">
        <v>6541</v>
      </c>
      <c r="G2817" s="46" t="n">
        <f aca="false">+593988841711</f>
        <v>593988841711</v>
      </c>
      <c r="H2817" s="46" t="s">
        <v>6542</v>
      </c>
      <c r="I2817" s="46"/>
      <c r="J2817" s="1"/>
      <c r="K2817" s="1" t="s">
        <v>6478</v>
      </c>
      <c r="L2817" s="1"/>
      <c r="M2817" s="1"/>
      <c r="N2817" s="1"/>
      <c r="O2817" s="1"/>
      <c r="P2817" s="6"/>
      <c r="Q2817" s="1"/>
      <c r="R2817" s="1"/>
      <c r="S2817" s="1"/>
      <c r="T2817" s="1"/>
      <c r="U2817" s="1"/>
      <c r="V2817" s="1"/>
      <c r="W2817" s="1"/>
      <c r="X2817" s="1"/>
      <c r="Y2817" s="1"/>
      <c r="Z2817" s="1"/>
    </row>
    <row r="2818" customFormat="false" ht="21.75" hidden="false" customHeight="true" outlineLevel="0" collapsed="false">
      <c r="A2818" s="4" t="n">
        <v>43502</v>
      </c>
      <c r="B2818" s="46" t="s">
        <v>323</v>
      </c>
      <c r="C2818" s="46" t="s">
        <v>15</v>
      </c>
      <c r="D2818" s="46" t="s">
        <v>43</v>
      </c>
      <c r="E2818" s="46" t="s">
        <v>109</v>
      </c>
      <c r="F2818" s="46" t="s">
        <v>6543</v>
      </c>
      <c r="G2818" s="46" t="n">
        <f aca="false">+593987439254</f>
        <v>593987439254</v>
      </c>
      <c r="H2818" s="46" t="s">
        <v>6544</v>
      </c>
      <c r="I2818" s="46"/>
      <c r="J2818" s="1"/>
      <c r="K2818" s="1" t="s">
        <v>1156</v>
      </c>
      <c r="L2818" s="1" t="s">
        <v>1156</v>
      </c>
      <c r="M2818" s="1"/>
      <c r="N2818" s="1"/>
      <c r="O2818" s="1"/>
      <c r="P2818" s="6"/>
      <c r="Q2818" s="1"/>
      <c r="R2818" s="1"/>
      <c r="S2818" s="1"/>
      <c r="T2818" s="1"/>
      <c r="U2818" s="1"/>
      <c r="V2818" s="1"/>
      <c r="W2818" s="1"/>
      <c r="X2818" s="1"/>
      <c r="Y2818" s="1"/>
      <c r="Z2818" s="1"/>
    </row>
    <row r="2819" customFormat="false" ht="21.75" hidden="false" customHeight="true" outlineLevel="0" collapsed="false">
      <c r="A2819" s="4" t="n">
        <v>43502</v>
      </c>
      <c r="B2819" s="46" t="s">
        <v>415</v>
      </c>
      <c r="C2819" s="46" t="s">
        <v>15</v>
      </c>
      <c r="D2819" s="46" t="s">
        <v>43</v>
      </c>
      <c r="E2819" s="46" t="s">
        <v>109</v>
      </c>
      <c r="F2819" s="46" t="s">
        <v>6545</v>
      </c>
      <c r="G2819" s="46" t="n">
        <f aca="false">+5930993865421</f>
        <v>5930993865421</v>
      </c>
      <c r="H2819" s="46" t="s">
        <v>6546</v>
      </c>
      <c r="I2819" s="46"/>
      <c r="J2819" s="1"/>
      <c r="K2819" s="1" t="s">
        <v>1156</v>
      </c>
      <c r="L2819" s="1"/>
      <c r="M2819" s="1"/>
      <c r="N2819" s="1"/>
      <c r="O2819" s="1"/>
      <c r="P2819" s="6"/>
      <c r="Q2819" s="1"/>
      <c r="R2819" s="1"/>
      <c r="S2819" s="1"/>
      <c r="T2819" s="1"/>
      <c r="U2819" s="1"/>
      <c r="V2819" s="1"/>
      <c r="W2819" s="1"/>
      <c r="X2819" s="1"/>
      <c r="Y2819" s="1"/>
      <c r="Z2819" s="1"/>
    </row>
    <row r="2820" customFormat="false" ht="21.75" hidden="false" customHeight="true" outlineLevel="0" collapsed="false">
      <c r="A2820" s="4" t="n">
        <v>43502</v>
      </c>
      <c r="B2820" s="46" t="s">
        <v>178</v>
      </c>
      <c r="C2820" s="46" t="s">
        <v>15</v>
      </c>
      <c r="D2820" s="46" t="s">
        <v>43</v>
      </c>
      <c r="E2820" s="46" t="s">
        <v>109</v>
      </c>
      <c r="F2820" s="46" t="s">
        <v>6547</v>
      </c>
      <c r="G2820" s="46" t="n">
        <f aca="false">+593967680747</f>
        <v>593967680747</v>
      </c>
      <c r="H2820" s="46" t="s">
        <v>5024</v>
      </c>
      <c r="I2820" s="46"/>
      <c r="J2820" s="1"/>
      <c r="K2820" s="1" t="s">
        <v>6548</v>
      </c>
      <c r="L2820" s="1"/>
      <c r="M2820" s="1"/>
      <c r="N2820" s="1"/>
      <c r="O2820" s="1"/>
      <c r="P2820" s="6"/>
      <c r="Q2820" s="1"/>
      <c r="R2820" s="1"/>
      <c r="S2820" s="1"/>
      <c r="T2820" s="1"/>
      <c r="U2820" s="1"/>
      <c r="V2820" s="1"/>
      <c r="W2820" s="1"/>
      <c r="X2820" s="1"/>
      <c r="Y2820" s="1"/>
      <c r="Z2820" s="1"/>
    </row>
    <row r="2821" customFormat="false" ht="21.75" hidden="false" customHeight="true" outlineLevel="0" collapsed="false">
      <c r="A2821" s="4" t="n">
        <v>43502</v>
      </c>
      <c r="B2821" s="46" t="s">
        <v>1114</v>
      </c>
      <c r="C2821" s="46" t="s">
        <v>15</v>
      </c>
      <c r="D2821" s="46" t="s">
        <v>43</v>
      </c>
      <c r="E2821" s="46" t="s">
        <v>109</v>
      </c>
      <c r="F2821" s="46" t="s">
        <v>6549</v>
      </c>
      <c r="G2821" s="46" t="n">
        <f aca="false">+593959599135</f>
        <v>593959599135</v>
      </c>
      <c r="H2821" s="46" t="s">
        <v>6550</v>
      </c>
      <c r="I2821" s="46"/>
      <c r="J2821" s="1"/>
      <c r="K2821" s="1" t="s">
        <v>1156</v>
      </c>
      <c r="L2821" s="1" t="s">
        <v>1156</v>
      </c>
      <c r="M2821" s="1"/>
      <c r="N2821" s="1"/>
      <c r="O2821" s="1"/>
      <c r="P2821" s="6"/>
      <c r="Q2821" s="1"/>
      <c r="R2821" s="1"/>
      <c r="S2821" s="1"/>
      <c r="T2821" s="1"/>
      <c r="U2821" s="1"/>
      <c r="V2821" s="1"/>
      <c r="W2821" s="1"/>
      <c r="X2821" s="1"/>
      <c r="Y2821" s="1"/>
      <c r="Z2821" s="1"/>
    </row>
    <row r="2822" customFormat="false" ht="21.75" hidden="false" customHeight="true" outlineLevel="0" collapsed="false">
      <c r="A2822" s="4" t="n">
        <v>43502</v>
      </c>
      <c r="B2822" s="46" t="s">
        <v>48</v>
      </c>
      <c r="C2822" s="46" t="s">
        <v>15</v>
      </c>
      <c r="D2822" s="46" t="s">
        <v>43</v>
      </c>
      <c r="E2822" s="46" t="s">
        <v>109</v>
      </c>
      <c r="F2822" s="46" t="s">
        <v>6551</v>
      </c>
      <c r="G2822" s="46" t="n">
        <f aca="false">+5930988709385</f>
        <v>5930988709385</v>
      </c>
      <c r="H2822" s="46" t="s">
        <v>6552</v>
      </c>
      <c r="I2822" s="46"/>
      <c r="J2822" s="1"/>
      <c r="K2822" s="1" t="s">
        <v>1156</v>
      </c>
      <c r="L2822" s="1" t="s">
        <v>1156</v>
      </c>
      <c r="M2822" s="1"/>
      <c r="N2822" s="1"/>
      <c r="O2822" s="1"/>
      <c r="P2822" s="6"/>
      <c r="Q2822" s="1"/>
      <c r="R2822" s="1"/>
      <c r="S2822" s="1"/>
      <c r="T2822" s="1"/>
      <c r="U2822" s="1"/>
      <c r="V2822" s="1"/>
      <c r="W2822" s="1"/>
      <c r="X2822" s="1"/>
      <c r="Y2822" s="1"/>
      <c r="Z2822" s="1"/>
    </row>
    <row r="2823" customFormat="false" ht="21.75" hidden="false" customHeight="true" outlineLevel="0" collapsed="false">
      <c r="A2823" s="4" t="n">
        <v>43502</v>
      </c>
      <c r="B2823" s="46" t="s">
        <v>48</v>
      </c>
      <c r="C2823" s="46" t="s">
        <v>15</v>
      </c>
      <c r="D2823" s="46" t="s">
        <v>43</v>
      </c>
      <c r="E2823" s="46" t="s">
        <v>109</v>
      </c>
      <c r="F2823" s="46" t="s">
        <v>6553</v>
      </c>
      <c r="G2823" s="46" t="n">
        <f aca="false">+593939985479</f>
        <v>593939985479</v>
      </c>
      <c r="H2823" s="46" t="s">
        <v>6554</v>
      </c>
      <c r="I2823" s="46"/>
      <c r="J2823" s="1"/>
      <c r="K2823" s="1" t="s">
        <v>1156</v>
      </c>
      <c r="L2823" s="1" t="s">
        <v>6555</v>
      </c>
      <c r="M2823" s="1"/>
      <c r="N2823" s="1"/>
      <c r="O2823" s="1"/>
      <c r="P2823" s="6"/>
      <c r="Q2823" s="1"/>
      <c r="R2823" s="1"/>
      <c r="S2823" s="1"/>
      <c r="T2823" s="1"/>
      <c r="U2823" s="1"/>
      <c r="V2823" s="1"/>
      <c r="W2823" s="1"/>
      <c r="X2823" s="1"/>
      <c r="Y2823" s="1"/>
      <c r="Z2823" s="1"/>
    </row>
    <row r="2824" customFormat="false" ht="21.75" hidden="false" customHeight="true" outlineLevel="0" collapsed="false">
      <c r="A2824" s="4" t="n">
        <v>43502</v>
      </c>
      <c r="B2824" s="46" t="s">
        <v>352</v>
      </c>
      <c r="C2824" s="46" t="s">
        <v>15</v>
      </c>
      <c r="D2824" s="46" t="s">
        <v>43</v>
      </c>
      <c r="E2824" s="46" t="s">
        <v>109</v>
      </c>
      <c r="F2824" s="46" t="s">
        <v>6556</v>
      </c>
      <c r="G2824" s="46" t="n">
        <f aca="false">+5930984068190</f>
        <v>5930984068190</v>
      </c>
      <c r="H2824" s="46" t="s">
        <v>6557</v>
      </c>
      <c r="I2824" s="46"/>
      <c r="J2824" s="1"/>
      <c r="K2824" s="1" t="s">
        <v>1156</v>
      </c>
      <c r="L2824" s="1" t="s">
        <v>1156</v>
      </c>
      <c r="M2824" s="1"/>
      <c r="N2824" s="1"/>
      <c r="O2824" s="1"/>
      <c r="P2824" s="6"/>
      <c r="Q2824" s="1"/>
      <c r="R2824" s="1"/>
      <c r="S2824" s="1"/>
      <c r="T2824" s="1"/>
      <c r="U2824" s="1"/>
      <c r="V2824" s="1"/>
      <c r="W2824" s="1"/>
      <c r="X2824" s="1"/>
      <c r="Y2824" s="1"/>
      <c r="Z2824" s="1"/>
    </row>
    <row r="2825" customFormat="false" ht="21.75" hidden="false" customHeight="true" outlineLevel="0" collapsed="false">
      <c r="A2825" s="4" t="n">
        <v>43502</v>
      </c>
      <c r="B2825" s="46" t="s">
        <v>352</v>
      </c>
      <c r="C2825" s="46" t="s">
        <v>15</v>
      </c>
      <c r="D2825" s="46" t="s">
        <v>43</v>
      </c>
      <c r="E2825" s="46" t="s">
        <v>109</v>
      </c>
      <c r="F2825" s="46" t="s">
        <v>6558</v>
      </c>
      <c r="G2825" s="46" t="n">
        <f aca="false">+593993382778</f>
        <v>593993382778</v>
      </c>
      <c r="H2825" s="46" t="s">
        <v>6559</v>
      </c>
      <c r="I2825" s="46"/>
      <c r="J2825" s="1"/>
      <c r="K2825" s="1" t="s">
        <v>1156</v>
      </c>
      <c r="L2825" s="1" t="s">
        <v>1156</v>
      </c>
      <c r="M2825" s="1"/>
      <c r="N2825" s="1"/>
      <c r="O2825" s="1"/>
      <c r="P2825" s="6"/>
      <c r="Q2825" s="1"/>
      <c r="R2825" s="1"/>
      <c r="S2825" s="1"/>
      <c r="T2825" s="1"/>
      <c r="U2825" s="1"/>
      <c r="V2825" s="1"/>
      <c r="W2825" s="1"/>
      <c r="X2825" s="1"/>
      <c r="Y2825" s="1"/>
      <c r="Z2825" s="1"/>
    </row>
    <row r="2826" customFormat="false" ht="21.75" hidden="false" customHeight="true" outlineLevel="0" collapsed="false">
      <c r="A2826" s="4" t="n">
        <v>43502</v>
      </c>
      <c r="B2826" s="46" t="s">
        <v>178</v>
      </c>
      <c r="C2826" s="46" t="s">
        <v>15</v>
      </c>
      <c r="D2826" s="46" t="s">
        <v>43</v>
      </c>
      <c r="E2826" s="46" t="s">
        <v>109</v>
      </c>
      <c r="F2826" s="46" t="s">
        <v>6560</v>
      </c>
      <c r="G2826" s="46" t="n">
        <f aca="false">+593982791642</f>
        <v>593982791642</v>
      </c>
      <c r="H2826" s="46" t="s">
        <v>6561</v>
      </c>
      <c r="I2826" s="46"/>
      <c r="J2826" s="1"/>
      <c r="K2826" s="1" t="s">
        <v>6562</v>
      </c>
      <c r="L2826" s="1"/>
      <c r="M2826" s="1"/>
      <c r="N2826" s="1"/>
      <c r="O2826" s="1"/>
      <c r="P2826" s="6"/>
      <c r="Q2826" s="1"/>
      <c r="R2826" s="1"/>
      <c r="S2826" s="1"/>
      <c r="T2826" s="1"/>
      <c r="U2826" s="1"/>
      <c r="V2826" s="1"/>
      <c r="W2826" s="1"/>
      <c r="X2826" s="1"/>
      <c r="Y2826" s="1"/>
      <c r="Z2826" s="1"/>
    </row>
    <row r="2827" customFormat="false" ht="21.75" hidden="false" customHeight="true" outlineLevel="0" collapsed="false">
      <c r="A2827" s="4" t="n">
        <v>43502</v>
      </c>
      <c r="B2827" s="46" t="s">
        <v>48</v>
      </c>
      <c r="C2827" s="46" t="s">
        <v>15</v>
      </c>
      <c r="D2827" s="46" t="s">
        <v>43</v>
      </c>
      <c r="E2827" s="46" t="s">
        <v>109</v>
      </c>
      <c r="F2827" s="46" t="s">
        <v>6563</v>
      </c>
      <c r="G2827" s="46" t="n">
        <f aca="false">+593969362762</f>
        <v>593969362762</v>
      </c>
      <c r="H2827" s="46" t="s">
        <v>6564</v>
      </c>
      <c r="I2827" s="46"/>
      <c r="J2827" s="1"/>
      <c r="K2827" s="1" t="s">
        <v>6565</v>
      </c>
      <c r="L2827" s="1"/>
      <c r="M2827" s="1"/>
      <c r="N2827" s="1"/>
      <c r="O2827" s="1"/>
      <c r="P2827" s="6"/>
      <c r="Q2827" s="1"/>
      <c r="R2827" s="1"/>
      <c r="S2827" s="1"/>
      <c r="T2827" s="1"/>
      <c r="U2827" s="1"/>
      <c r="V2827" s="1"/>
      <c r="W2827" s="1"/>
      <c r="X2827" s="1"/>
      <c r="Y2827" s="1"/>
      <c r="Z2827" s="1"/>
    </row>
    <row r="2828" customFormat="false" ht="21.75" hidden="false" customHeight="true" outlineLevel="0" collapsed="false">
      <c r="A2828" s="4" t="n">
        <v>43502</v>
      </c>
      <c r="B2828" s="46" t="s">
        <v>42</v>
      </c>
      <c r="C2828" s="46" t="s">
        <v>15</v>
      </c>
      <c r="D2828" s="46" t="s">
        <v>43</v>
      </c>
      <c r="E2828" s="46" t="s">
        <v>109</v>
      </c>
      <c r="F2828" s="46" t="s">
        <v>6566</v>
      </c>
      <c r="G2828" s="46" t="n">
        <f aca="false">+5930997259878</f>
        <v>5930997259878</v>
      </c>
      <c r="H2828" s="46" t="s">
        <v>6567</v>
      </c>
      <c r="I2828" s="46"/>
      <c r="J2828" s="1"/>
      <c r="K2828" s="1" t="s">
        <v>6487</v>
      </c>
      <c r="L2828" s="1"/>
      <c r="M2828" s="1"/>
      <c r="N2828" s="1"/>
      <c r="O2828" s="1"/>
      <c r="P2828" s="6"/>
      <c r="Q2828" s="1"/>
      <c r="R2828" s="1"/>
      <c r="S2828" s="1"/>
      <c r="T2828" s="1"/>
      <c r="U2828" s="1"/>
      <c r="V2828" s="1"/>
      <c r="W2828" s="1"/>
      <c r="X2828" s="1"/>
      <c r="Y2828" s="1"/>
      <c r="Z2828" s="1"/>
    </row>
    <row r="2829" customFormat="false" ht="21.75" hidden="false" customHeight="true" outlineLevel="0" collapsed="false">
      <c r="A2829" s="4" t="n">
        <v>43502</v>
      </c>
      <c r="B2829" s="46" t="s">
        <v>1114</v>
      </c>
      <c r="C2829" s="46" t="s">
        <v>15</v>
      </c>
      <c r="D2829" s="46" t="s">
        <v>43</v>
      </c>
      <c r="E2829" s="46" t="s">
        <v>109</v>
      </c>
      <c r="F2829" s="46" t="s">
        <v>6568</v>
      </c>
      <c r="G2829" s="46" t="n">
        <f aca="false">+5930967736159</f>
        <v>5930967736159</v>
      </c>
      <c r="H2829" s="46" t="s">
        <v>6569</v>
      </c>
      <c r="I2829" s="46"/>
      <c r="J2829" s="1"/>
      <c r="K2829" s="1" t="s">
        <v>6570</v>
      </c>
      <c r="L2829" s="1"/>
      <c r="M2829" s="1"/>
      <c r="N2829" s="1"/>
      <c r="O2829" s="1"/>
      <c r="P2829" s="6"/>
      <c r="Q2829" s="1"/>
      <c r="R2829" s="1"/>
      <c r="S2829" s="1"/>
      <c r="T2829" s="1"/>
      <c r="U2829" s="1"/>
      <c r="V2829" s="1"/>
      <c r="W2829" s="1"/>
      <c r="X2829" s="1"/>
      <c r="Y2829" s="1"/>
      <c r="Z2829" s="1"/>
    </row>
    <row r="2830" customFormat="false" ht="21.75" hidden="false" customHeight="true" outlineLevel="0" collapsed="false">
      <c r="A2830" s="4" t="n">
        <v>43502</v>
      </c>
      <c r="B2830" s="46" t="s">
        <v>532</v>
      </c>
      <c r="C2830" s="46" t="s">
        <v>15</v>
      </c>
      <c r="D2830" s="46" t="s">
        <v>43</v>
      </c>
      <c r="E2830" s="46" t="s">
        <v>109</v>
      </c>
      <c r="F2830" s="46" t="s">
        <v>6571</v>
      </c>
      <c r="G2830" s="46" t="n">
        <f aca="false">+593987183084</f>
        <v>593987183084</v>
      </c>
      <c r="H2830" s="46" t="s">
        <v>6572</v>
      </c>
      <c r="I2830" s="46"/>
      <c r="J2830" s="1"/>
      <c r="K2830" s="1" t="s">
        <v>6573</v>
      </c>
      <c r="L2830" s="1"/>
      <c r="M2830" s="1"/>
      <c r="N2830" s="1"/>
      <c r="O2830" s="1"/>
      <c r="P2830" s="6"/>
      <c r="Q2830" s="1"/>
      <c r="R2830" s="1"/>
      <c r="S2830" s="1"/>
      <c r="T2830" s="1"/>
      <c r="U2830" s="1"/>
      <c r="V2830" s="1"/>
      <c r="W2830" s="1"/>
      <c r="X2830" s="1"/>
      <c r="Y2830" s="1"/>
      <c r="Z2830" s="1"/>
    </row>
    <row r="2831" customFormat="false" ht="21.75" hidden="false" customHeight="true" outlineLevel="0" collapsed="false">
      <c r="A2831" s="4" t="n">
        <v>43502</v>
      </c>
      <c r="B2831" s="46" t="s">
        <v>1478</v>
      </c>
      <c r="C2831" s="46" t="s">
        <v>15</v>
      </c>
      <c r="D2831" s="46" t="s">
        <v>43</v>
      </c>
      <c r="E2831" s="46" t="s">
        <v>109</v>
      </c>
      <c r="F2831" s="46" t="s">
        <v>6574</v>
      </c>
      <c r="G2831" s="46" t="n">
        <f aca="false">+593969178212</f>
        <v>593969178212</v>
      </c>
      <c r="H2831" s="46" t="s">
        <v>6575</v>
      </c>
      <c r="I2831" s="46"/>
      <c r="J2831" s="1"/>
      <c r="K2831" s="1" t="s">
        <v>6576</v>
      </c>
      <c r="L2831" s="1"/>
      <c r="M2831" s="1"/>
      <c r="N2831" s="1"/>
      <c r="O2831" s="1"/>
      <c r="P2831" s="6"/>
      <c r="Q2831" s="1"/>
      <c r="R2831" s="1"/>
      <c r="S2831" s="1"/>
      <c r="T2831" s="1"/>
      <c r="U2831" s="1"/>
      <c r="V2831" s="1"/>
      <c r="W2831" s="1"/>
      <c r="X2831" s="1"/>
      <c r="Y2831" s="1"/>
      <c r="Z2831" s="1"/>
    </row>
    <row r="2832" customFormat="false" ht="21.75" hidden="false" customHeight="true" outlineLevel="0" collapsed="false">
      <c r="A2832" s="4" t="n">
        <v>43502</v>
      </c>
      <c r="B2832" s="53" t="s">
        <v>48</v>
      </c>
      <c r="C2832" s="46" t="s">
        <v>15</v>
      </c>
      <c r="D2832" s="46" t="s">
        <v>43</v>
      </c>
      <c r="E2832" s="46" t="s">
        <v>44</v>
      </c>
      <c r="F2832" s="46" t="s">
        <v>6577</v>
      </c>
      <c r="G2832" s="46" t="n">
        <f aca="false">+593983514476</f>
        <v>593983514476</v>
      </c>
      <c r="H2832" s="46" t="s">
        <v>6578</v>
      </c>
      <c r="I2832" s="46"/>
      <c r="J2832" s="1"/>
      <c r="K2832" s="1" t="s">
        <v>6579</v>
      </c>
      <c r="L2832" s="1"/>
      <c r="M2832" s="1"/>
      <c r="N2832" s="1"/>
      <c r="O2832" s="1"/>
      <c r="P2832" s="6"/>
      <c r="Q2832" s="1"/>
      <c r="R2832" s="1"/>
      <c r="S2832" s="1"/>
      <c r="T2832" s="1"/>
      <c r="U2832" s="1"/>
      <c r="V2832" s="1"/>
      <c r="W2832" s="1"/>
      <c r="X2832" s="1"/>
      <c r="Y2832" s="1"/>
      <c r="Z2832" s="1"/>
    </row>
    <row r="2833" customFormat="false" ht="21.75" hidden="false" customHeight="true" outlineLevel="0" collapsed="false">
      <c r="A2833" s="4" t="n">
        <v>43502</v>
      </c>
      <c r="B2833" s="53" t="s">
        <v>48</v>
      </c>
      <c r="C2833" s="46" t="s">
        <v>15</v>
      </c>
      <c r="D2833" s="46" t="s">
        <v>43</v>
      </c>
      <c r="E2833" s="46" t="s">
        <v>44</v>
      </c>
      <c r="F2833" s="46" t="s">
        <v>6580</v>
      </c>
      <c r="G2833" s="46" t="n">
        <f aca="false">+593968606737</f>
        <v>593968606737</v>
      </c>
      <c r="H2833" s="46" t="s">
        <v>6581</v>
      </c>
      <c r="I2833" s="46"/>
      <c r="J2833" s="1"/>
      <c r="K2833" s="1" t="s">
        <v>1156</v>
      </c>
      <c r="L2833" s="1" t="s">
        <v>1156</v>
      </c>
      <c r="M2833" s="1"/>
      <c r="N2833" s="1"/>
      <c r="O2833" s="1"/>
      <c r="P2833" s="6"/>
      <c r="Q2833" s="1"/>
      <c r="R2833" s="1"/>
      <c r="S2833" s="1"/>
      <c r="T2833" s="1"/>
      <c r="U2833" s="1"/>
      <c r="V2833" s="1"/>
      <c r="W2833" s="1"/>
      <c r="X2833" s="1"/>
      <c r="Y2833" s="1"/>
      <c r="Z2833" s="1"/>
    </row>
    <row r="2834" customFormat="false" ht="21.75" hidden="false" customHeight="true" outlineLevel="0" collapsed="false">
      <c r="A2834" s="4" t="n">
        <v>43502</v>
      </c>
      <c r="B2834" s="53" t="s">
        <v>48</v>
      </c>
      <c r="C2834" s="46" t="s">
        <v>15</v>
      </c>
      <c r="D2834" s="46" t="s">
        <v>43</v>
      </c>
      <c r="E2834" s="46" t="s">
        <v>44</v>
      </c>
      <c r="F2834" s="46" t="s">
        <v>6582</v>
      </c>
      <c r="G2834" s="46" t="n">
        <f aca="false">+5930995345045</f>
        <v>5930995345045</v>
      </c>
      <c r="H2834" s="46" t="s">
        <v>6583</v>
      </c>
      <c r="I2834" s="46"/>
      <c r="J2834" s="1"/>
      <c r="K2834" s="1" t="s">
        <v>1156</v>
      </c>
      <c r="L2834" s="1" t="s">
        <v>1156</v>
      </c>
      <c r="M2834" s="1"/>
      <c r="N2834" s="1"/>
      <c r="O2834" s="1"/>
      <c r="P2834" s="6"/>
      <c r="Q2834" s="1"/>
      <c r="R2834" s="1"/>
      <c r="S2834" s="1"/>
      <c r="T2834" s="1"/>
      <c r="U2834" s="1"/>
      <c r="V2834" s="1"/>
      <c r="W2834" s="1"/>
      <c r="X2834" s="1"/>
      <c r="Y2834" s="1"/>
      <c r="Z2834" s="1"/>
    </row>
    <row r="2835" customFormat="false" ht="21.75" hidden="false" customHeight="true" outlineLevel="0" collapsed="false">
      <c r="A2835" s="4" t="n">
        <v>43502</v>
      </c>
      <c r="B2835" s="53" t="s">
        <v>48</v>
      </c>
      <c r="C2835" s="46" t="s">
        <v>15</v>
      </c>
      <c r="D2835" s="46" t="s">
        <v>43</v>
      </c>
      <c r="E2835" s="46" t="s">
        <v>44</v>
      </c>
      <c r="F2835" s="46" t="s">
        <v>6584</v>
      </c>
      <c r="G2835" s="46" t="n">
        <f aca="false">+593978957569</f>
        <v>593978957569</v>
      </c>
      <c r="H2835" s="46" t="s">
        <v>6585</v>
      </c>
      <c r="I2835" s="46"/>
      <c r="J2835" s="1"/>
      <c r="K2835" s="1" t="s">
        <v>1156</v>
      </c>
      <c r="L2835" s="1" t="s">
        <v>6586</v>
      </c>
      <c r="M2835" s="1"/>
      <c r="N2835" s="1"/>
      <c r="O2835" s="1"/>
      <c r="P2835" s="6"/>
      <c r="Q2835" s="1"/>
      <c r="R2835" s="1"/>
      <c r="S2835" s="1"/>
      <c r="T2835" s="1"/>
      <c r="U2835" s="1"/>
      <c r="V2835" s="1"/>
      <c r="W2835" s="1"/>
      <c r="X2835" s="1"/>
      <c r="Y2835" s="1"/>
      <c r="Z2835" s="1"/>
    </row>
    <row r="2836" customFormat="false" ht="21.75" hidden="false" customHeight="true" outlineLevel="0" collapsed="false">
      <c r="A2836" s="4" t="n">
        <v>43502</v>
      </c>
      <c r="B2836" s="53" t="s">
        <v>48</v>
      </c>
      <c r="C2836" s="46" t="s">
        <v>26</v>
      </c>
      <c r="D2836" s="46" t="s">
        <v>43</v>
      </c>
      <c r="E2836" s="46" t="s">
        <v>44</v>
      </c>
      <c r="F2836" s="46" t="s">
        <v>6473</v>
      </c>
      <c r="G2836" s="46" t="n">
        <f aca="false">+593939532403</f>
        <v>593939532403</v>
      </c>
      <c r="H2836" s="46" t="s">
        <v>6474</v>
      </c>
      <c r="I2836" s="46"/>
      <c r="J2836" s="1"/>
      <c r="K2836" s="1" t="s">
        <v>1156</v>
      </c>
      <c r="L2836" s="1" t="s">
        <v>6587</v>
      </c>
      <c r="M2836" s="1"/>
      <c r="N2836" s="1"/>
      <c r="O2836" s="1"/>
      <c r="P2836" s="6"/>
      <c r="Q2836" s="1"/>
      <c r="R2836" s="1"/>
      <c r="S2836" s="1"/>
      <c r="T2836" s="1"/>
      <c r="U2836" s="1"/>
      <c r="V2836" s="1"/>
      <c r="W2836" s="1"/>
      <c r="X2836" s="1"/>
      <c r="Y2836" s="1"/>
      <c r="Z2836" s="1"/>
    </row>
    <row r="2837" customFormat="false" ht="21.75" hidden="false" customHeight="true" outlineLevel="0" collapsed="false">
      <c r="A2837" s="4" t="n">
        <v>43502</v>
      </c>
      <c r="B2837" s="53" t="s">
        <v>48</v>
      </c>
      <c r="C2837" s="46" t="s">
        <v>15</v>
      </c>
      <c r="D2837" s="46" t="s">
        <v>43</v>
      </c>
      <c r="E2837" s="46" t="s">
        <v>44</v>
      </c>
      <c r="F2837" s="46" t="s">
        <v>6588</v>
      </c>
      <c r="G2837" s="46" t="n">
        <f aca="false">+593986973387</f>
        <v>593986973387</v>
      </c>
      <c r="H2837" s="46" t="s">
        <v>6589</v>
      </c>
      <c r="I2837" s="46"/>
      <c r="J2837" s="1"/>
      <c r="K2837" s="1" t="s">
        <v>6590</v>
      </c>
      <c r="L2837" s="1"/>
      <c r="M2837" s="1"/>
      <c r="N2837" s="1"/>
      <c r="O2837" s="1"/>
      <c r="P2837" s="6"/>
      <c r="Q2837" s="1"/>
      <c r="R2837" s="1"/>
      <c r="S2837" s="1"/>
      <c r="T2837" s="1"/>
      <c r="U2837" s="1"/>
      <c r="V2837" s="1"/>
      <c r="W2837" s="1"/>
      <c r="X2837" s="1"/>
      <c r="Y2837" s="1"/>
      <c r="Z2837" s="1"/>
    </row>
    <row r="2838" customFormat="false" ht="21.75" hidden="false" customHeight="true" outlineLevel="0" collapsed="false">
      <c r="A2838" s="4" t="n">
        <v>43502</v>
      </c>
      <c r="B2838" s="53" t="s">
        <v>48</v>
      </c>
      <c r="C2838" s="46" t="s">
        <v>26</v>
      </c>
      <c r="D2838" s="46" t="s">
        <v>43</v>
      </c>
      <c r="E2838" s="46" t="s">
        <v>44</v>
      </c>
      <c r="F2838" s="46" t="s">
        <v>6591</v>
      </c>
      <c r="G2838" s="46" t="n">
        <f aca="false">+593983350993</f>
        <v>593983350993</v>
      </c>
      <c r="H2838" s="46" t="s">
        <v>6592</v>
      </c>
      <c r="I2838" s="46"/>
      <c r="J2838" s="1"/>
      <c r="K2838" s="1" t="s">
        <v>6593</v>
      </c>
      <c r="L2838" s="1"/>
      <c r="M2838" s="1"/>
      <c r="N2838" s="1"/>
      <c r="O2838" s="1"/>
      <c r="P2838" s="6"/>
      <c r="Q2838" s="1"/>
      <c r="R2838" s="1"/>
      <c r="S2838" s="1"/>
      <c r="T2838" s="1"/>
      <c r="U2838" s="1"/>
      <c r="V2838" s="1"/>
      <c r="W2838" s="1"/>
      <c r="X2838" s="1"/>
      <c r="Y2838" s="1"/>
      <c r="Z2838" s="1"/>
    </row>
    <row r="2839" customFormat="false" ht="21.75" hidden="false" customHeight="true" outlineLevel="0" collapsed="false">
      <c r="A2839" s="4" t="n">
        <v>43502</v>
      </c>
      <c r="B2839" s="53" t="s">
        <v>48</v>
      </c>
      <c r="C2839" s="46" t="s">
        <v>15</v>
      </c>
      <c r="D2839" s="46" t="s">
        <v>43</v>
      </c>
      <c r="E2839" s="46" t="s">
        <v>44</v>
      </c>
      <c r="F2839" s="46" t="s">
        <v>6594</v>
      </c>
      <c r="G2839" s="46" t="n">
        <f aca="false">+593984356597</f>
        <v>593984356597</v>
      </c>
      <c r="H2839" s="46" t="s">
        <v>6595</v>
      </c>
      <c r="I2839" s="46"/>
      <c r="J2839" s="1"/>
      <c r="K2839" s="1" t="s">
        <v>1156</v>
      </c>
      <c r="L2839" s="1" t="s">
        <v>1156</v>
      </c>
      <c r="M2839" s="1"/>
      <c r="N2839" s="1"/>
      <c r="O2839" s="1"/>
      <c r="P2839" s="6"/>
      <c r="Q2839" s="1"/>
      <c r="R2839" s="1"/>
      <c r="S2839" s="1"/>
      <c r="T2839" s="1"/>
      <c r="U2839" s="1"/>
      <c r="V2839" s="1"/>
      <c r="W2839" s="1"/>
      <c r="X2839" s="1"/>
      <c r="Y2839" s="1"/>
      <c r="Z2839" s="1"/>
    </row>
    <row r="2840" customFormat="false" ht="21.75" hidden="false" customHeight="true" outlineLevel="0" collapsed="false">
      <c r="A2840" s="4" t="n">
        <v>43502</v>
      </c>
      <c r="B2840" s="53" t="s">
        <v>48</v>
      </c>
      <c r="C2840" s="46" t="s">
        <v>15</v>
      </c>
      <c r="D2840" s="46" t="s">
        <v>43</v>
      </c>
      <c r="E2840" s="46" t="s">
        <v>44</v>
      </c>
      <c r="F2840" s="46" t="s">
        <v>6596</v>
      </c>
      <c r="G2840" s="46" t="n">
        <f aca="false">+5930983785866</f>
        <v>5930983785866</v>
      </c>
      <c r="H2840" s="46" t="s">
        <v>6290</v>
      </c>
      <c r="I2840" s="46"/>
      <c r="J2840" s="1"/>
      <c r="K2840" s="1" t="s">
        <v>1156</v>
      </c>
      <c r="L2840" s="1" t="s">
        <v>1149</v>
      </c>
      <c r="M2840" s="1"/>
      <c r="N2840" s="1"/>
      <c r="O2840" s="1"/>
      <c r="P2840" s="6"/>
      <c r="Q2840" s="1"/>
      <c r="R2840" s="1"/>
      <c r="S2840" s="1"/>
      <c r="T2840" s="1"/>
      <c r="U2840" s="1"/>
      <c r="V2840" s="1"/>
      <c r="W2840" s="1"/>
      <c r="X2840" s="1"/>
      <c r="Y2840" s="1"/>
      <c r="Z2840" s="1"/>
    </row>
    <row r="2841" customFormat="false" ht="21.75" hidden="false" customHeight="true" outlineLevel="0" collapsed="false">
      <c r="A2841" s="4" t="n">
        <v>43502</v>
      </c>
      <c r="B2841" s="53" t="s">
        <v>48</v>
      </c>
      <c r="C2841" s="46" t="s">
        <v>15</v>
      </c>
      <c r="D2841" s="46" t="s">
        <v>43</v>
      </c>
      <c r="E2841" s="46" t="s">
        <v>44</v>
      </c>
      <c r="F2841" s="46" t="s">
        <v>5332</v>
      </c>
      <c r="G2841" s="46" t="n">
        <f aca="false">+5930983998131</f>
        <v>5930983998131</v>
      </c>
      <c r="H2841" s="46" t="s">
        <v>5333</v>
      </c>
      <c r="I2841" s="46"/>
      <c r="J2841" s="1"/>
      <c r="K2841" s="1" t="s">
        <v>31</v>
      </c>
      <c r="L2841" s="1"/>
      <c r="M2841" s="1"/>
      <c r="N2841" s="1"/>
      <c r="O2841" s="1"/>
      <c r="P2841" s="6"/>
      <c r="Q2841" s="1"/>
      <c r="R2841" s="1"/>
      <c r="S2841" s="1"/>
      <c r="T2841" s="1"/>
      <c r="U2841" s="1"/>
      <c r="V2841" s="1"/>
      <c r="W2841" s="1"/>
      <c r="X2841" s="1"/>
      <c r="Y2841" s="1"/>
      <c r="Z2841" s="1"/>
    </row>
    <row r="2842" customFormat="false" ht="21.75" hidden="false" customHeight="true" outlineLevel="0" collapsed="false">
      <c r="A2842" s="4" t="n">
        <v>43502</v>
      </c>
      <c r="B2842" s="53" t="s">
        <v>48</v>
      </c>
      <c r="C2842" s="46" t="s">
        <v>15</v>
      </c>
      <c r="D2842" s="46" t="s">
        <v>43</v>
      </c>
      <c r="E2842" s="46" t="s">
        <v>44</v>
      </c>
      <c r="F2842" s="46" t="s">
        <v>6597</v>
      </c>
      <c r="G2842" s="46" t="n">
        <f aca="false">+593984341269</f>
        <v>593984341269</v>
      </c>
      <c r="H2842" s="46" t="s">
        <v>6598</v>
      </c>
      <c r="I2842" s="46"/>
      <c r="J2842" s="1"/>
      <c r="K2842" s="1" t="s">
        <v>1156</v>
      </c>
      <c r="L2842" s="1" t="s">
        <v>6599</v>
      </c>
      <c r="M2842" s="1"/>
      <c r="N2842" s="1"/>
      <c r="O2842" s="1"/>
      <c r="P2842" s="6"/>
      <c r="Q2842" s="1"/>
      <c r="R2842" s="1"/>
      <c r="S2842" s="1"/>
      <c r="T2842" s="1"/>
      <c r="U2842" s="1"/>
      <c r="V2842" s="1"/>
      <c r="W2842" s="1"/>
      <c r="X2842" s="1"/>
      <c r="Y2842" s="1"/>
      <c r="Z2842" s="1"/>
    </row>
    <row r="2843" customFormat="false" ht="21.75" hidden="false" customHeight="true" outlineLevel="0" collapsed="false">
      <c r="A2843" s="4" t="n">
        <v>43502</v>
      </c>
      <c r="B2843" s="53" t="s">
        <v>48</v>
      </c>
      <c r="C2843" s="46" t="s">
        <v>15</v>
      </c>
      <c r="D2843" s="46" t="s">
        <v>43</v>
      </c>
      <c r="E2843" s="46" t="s">
        <v>44</v>
      </c>
      <c r="F2843" s="46" t="s">
        <v>6600</v>
      </c>
      <c r="G2843" s="46" t="n">
        <f aca="false">+5930981286181</f>
        <v>5930981286181</v>
      </c>
      <c r="H2843" s="46" t="s">
        <v>6601</v>
      </c>
      <c r="I2843" s="46"/>
      <c r="J2843" s="1"/>
      <c r="K2843" s="1" t="s">
        <v>6602</v>
      </c>
      <c r="L2843" s="1" t="s">
        <v>1156</v>
      </c>
      <c r="M2843" s="1"/>
      <c r="N2843" s="1"/>
      <c r="O2843" s="1"/>
      <c r="P2843" s="6"/>
      <c r="Q2843" s="1"/>
      <c r="R2843" s="1"/>
      <c r="S2843" s="1"/>
      <c r="T2843" s="1"/>
      <c r="U2843" s="1"/>
      <c r="V2843" s="1"/>
      <c r="W2843" s="1"/>
      <c r="X2843" s="1"/>
      <c r="Y2843" s="1"/>
      <c r="Z2843" s="1"/>
    </row>
    <row r="2844" customFormat="false" ht="21.75" hidden="false" customHeight="true" outlineLevel="0" collapsed="false">
      <c r="A2844" s="4" t="n">
        <v>43502</v>
      </c>
      <c r="B2844" s="53" t="s">
        <v>127</v>
      </c>
      <c r="C2844" s="46" t="s">
        <v>15</v>
      </c>
      <c r="D2844" s="46" t="s">
        <v>43</v>
      </c>
      <c r="E2844" s="46" t="s">
        <v>44</v>
      </c>
      <c r="F2844" s="46" t="s">
        <v>6603</v>
      </c>
      <c r="G2844" s="46" t="n">
        <f aca="false">+593959856260</f>
        <v>593959856260</v>
      </c>
      <c r="H2844" s="46" t="s">
        <v>6604</v>
      </c>
      <c r="I2844" s="46"/>
      <c r="J2844" s="1"/>
      <c r="K2844" s="1" t="s">
        <v>6504</v>
      </c>
      <c r="L2844" s="1"/>
      <c r="M2844" s="1"/>
      <c r="N2844" s="1"/>
      <c r="O2844" s="1"/>
      <c r="P2844" s="6"/>
      <c r="Q2844" s="1"/>
      <c r="R2844" s="1"/>
      <c r="S2844" s="1"/>
      <c r="T2844" s="1"/>
      <c r="U2844" s="1"/>
      <c r="V2844" s="1"/>
      <c r="W2844" s="1"/>
      <c r="X2844" s="1"/>
      <c r="Y2844" s="1"/>
      <c r="Z2844" s="1"/>
    </row>
    <row r="2845" customFormat="false" ht="21.75" hidden="false" customHeight="true" outlineLevel="0" collapsed="false">
      <c r="A2845" s="4" t="n">
        <v>43502</v>
      </c>
      <c r="B2845" s="53" t="s">
        <v>42</v>
      </c>
      <c r="C2845" s="46" t="s">
        <v>26</v>
      </c>
      <c r="D2845" s="46" t="s">
        <v>43</v>
      </c>
      <c r="E2845" s="46" t="s">
        <v>44</v>
      </c>
      <c r="F2845" s="46" t="s">
        <v>6605</v>
      </c>
      <c r="G2845" s="46" t="n">
        <f aca="false">+593939686487</f>
        <v>593939686487</v>
      </c>
      <c r="H2845" s="46" t="s">
        <v>6606</v>
      </c>
      <c r="I2845" s="46"/>
      <c r="J2845" s="1"/>
      <c r="K2845" s="1" t="s">
        <v>1156</v>
      </c>
      <c r="L2845" s="1" t="s">
        <v>6528</v>
      </c>
      <c r="M2845" s="1"/>
      <c r="N2845" s="1"/>
      <c r="O2845" s="1"/>
      <c r="P2845" s="6"/>
      <c r="Q2845" s="1"/>
      <c r="R2845" s="1"/>
      <c r="S2845" s="1"/>
      <c r="T2845" s="1"/>
      <c r="U2845" s="1"/>
      <c r="V2845" s="1"/>
      <c r="W2845" s="1"/>
      <c r="X2845" s="1"/>
      <c r="Y2845" s="1"/>
      <c r="Z2845" s="1"/>
    </row>
    <row r="2846" customFormat="false" ht="21.75" hidden="false" customHeight="true" outlineLevel="0" collapsed="false">
      <c r="A2846" s="4" t="n">
        <v>43502</v>
      </c>
      <c r="B2846" s="53" t="s">
        <v>415</v>
      </c>
      <c r="C2846" s="46" t="s">
        <v>15</v>
      </c>
      <c r="D2846" s="46" t="s">
        <v>43</v>
      </c>
      <c r="E2846" s="46" t="s">
        <v>44</v>
      </c>
      <c r="F2846" s="46" t="s">
        <v>6607</v>
      </c>
      <c r="G2846" s="46" t="n">
        <f aca="false">+5930999509942</f>
        <v>5930999509942</v>
      </c>
      <c r="H2846" s="46" t="s">
        <v>6608</v>
      </c>
      <c r="I2846" s="46"/>
      <c r="J2846" s="1"/>
      <c r="K2846" s="1" t="s">
        <v>5344</v>
      </c>
      <c r="L2846" s="1"/>
      <c r="M2846" s="1"/>
      <c r="N2846" s="1"/>
      <c r="O2846" s="1"/>
      <c r="P2846" s="6"/>
      <c r="Q2846" s="1"/>
      <c r="R2846" s="1"/>
      <c r="S2846" s="1"/>
      <c r="T2846" s="1"/>
      <c r="U2846" s="1"/>
      <c r="V2846" s="1"/>
      <c r="W2846" s="1"/>
      <c r="X2846" s="1"/>
      <c r="Y2846" s="1"/>
      <c r="Z2846" s="1"/>
    </row>
    <row r="2847" customFormat="false" ht="21.75" hidden="false" customHeight="true" outlineLevel="0" collapsed="false">
      <c r="A2847" s="4" t="n">
        <v>43502</v>
      </c>
      <c r="B2847" s="53" t="s">
        <v>415</v>
      </c>
      <c r="C2847" s="46" t="s">
        <v>15</v>
      </c>
      <c r="D2847" s="46" t="s">
        <v>43</v>
      </c>
      <c r="E2847" s="46" t="s">
        <v>44</v>
      </c>
      <c r="F2847" s="46" t="s">
        <v>6609</v>
      </c>
      <c r="G2847" s="46" t="n">
        <f aca="false">+5930979756634</f>
        <v>5930979756634</v>
      </c>
      <c r="H2847" s="46" t="s">
        <v>6610</v>
      </c>
      <c r="I2847" s="46"/>
      <c r="J2847" s="1"/>
      <c r="K2847" s="1" t="s">
        <v>5481</v>
      </c>
      <c r="L2847" s="1" t="s">
        <v>6611</v>
      </c>
      <c r="M2847" s="1"/>
      <c r="N2847" s="1"/>
      <c r="O2847" s="1"/>
      <c r="P2847" s="6"/>
      <c r="Q2847" s="1"/>
      <c r="R2847" s="1"/>
      <c r="S2847" s="1"/>
      <c r="T2847" s="1"/>
      <c r="U2847" s="1"/>
      <c r="V2847" s="1"/>
      <c r="W2847" s="1"/>
      <c r="X2847" s="1"/>
      <c r="Y2847" s="1"/>
      <c r="Z2847" s="1"/>
    </row>
    <row r="2848" customFormat="false" ht="21.75" hidden="false" customHeight="true" outlineLevel="0" collapsed="false">
      <c r="A2848" s="4" t="n">
        <v>43502</v>
      </c>
      <c r="B2848" s="53" t="s">
        <v>178</v>
      </c>
      <c r="C2848" s="46" t="s">
        <v>15</v>
      </c>
      <c r="D2848" s="46" t="s">
        <v>43</v>
      </c>
      <c r="E2848" s="46" t="s">
        <v>44</v>
      </c>
      <c r="F2848" s="46" t="s">
        <v>6351</v>
      </c>
      <c r="G2848" s="46" t="n">
        <f aca="false">+593967640059</f>
        <v>593967640059</v>
      </c>
      <c r="H2848" s="46" t="s">
        <v>6352</v>
      </c>
      <c r="I2848" s="46"/>
      <c r="J2848" s="1"/>
      <c r="K2848" s="1" t="s">
        <v>31</v>
      </c>
      <c r="L2848" s="1"/>
      <c r="M2848" s="1"/>
      <c r="N2848" s="1"/>
      <c r="O2848" s="1"/>
      <c r="P2848" s="6"/>
      <c r="Q2848" s="1"/>
      <c r="R2848" s="1"/>
      <c r="S2848" s="1"/>
      <c r="T2848" s="1"/>
      <c r="U2848" s="1"/>
      <c r="V2848" s="1"/>
      <c r="W2848" s="1"/>
      <c r="X2848" s="1"/>
      <c r="Y2848" s="1"/>
      <c r="Z2848" s="1"/>
    </row>
    <row r="2849" customFormat="false" ht="21.75" hidden="false" customHeight="true" outlineLevel="0" collapsed="false">
      <c r="A2849" s="4" t="n">
        <v>43502</v>
      </c>
      <c r="B2849" s="53" t="s">
        <v>178</v>
      </c>
      <c r="C2849" s="46" t="s">
        <v>15</v>
      </c>
      <c r="D2849" s="46" t="s">
        <v>43</v>
      </c>
      <c r="E2849" s="46" t="s">
        <v>44</v>
      </c>
      <c r="F2849" s="46" t="s">
        <v>6479</v>
      </c>
      <c r="G2849" s="46" t="n">
        <f aca="false">+593994358521</f>
        <v>593994358521</v>
      </c>
      <c r="H2849" s="46" t="s">
        <v>6480</v>
      </c>
      <c r="I2849" s="46"/>
      <c r="J2849" s="1"/>
      <c r="K2849" s="1" t="s">
        <v>1156</v>
      </c>
      <c r="L2849" s="1" t="s">
        <v>1156</v>
      </c>
      <c r="M2849" s="1"/>
      <c r="N2849" s="1"/>
      <c r="O2849" s="1"/>
      <c r="P2849" s="6"/>
      <c r="Q2849" s="1"/>
      <c r="R2849" s="1"/>
      <c r="S2849" s="1"/>
      <c r="T2849" s="1"/>
      <c r="U2849" s="1"/>
      <c r="V2849" s="1"/>
      <c r="W2849" s="1"/>
      <c r="X2849" s="1"/>
      <c r="Y2849" s="1"/>
      <c r="Z2849" s="1"/>
    </row>
    <row r="2850" customFormat="false" ht="21.75" hidden="false" customHeight="true" outlineLevel="0" collapsed="false">
      <c r="A2850" s="4" t="n">
        <v>43502</v>
      </c>
      <c r="B2850" s="53" t="s">
        <v>178</v>
      </c>
      <c r="C2850" s="46" t="s">
        <v>15</v>
      </c>
      <c r="D2850" s="46" t="s">
        <v>43</v>
      </c>
      <c r="E2850" s="46" t="s">
        <v>44</v>
      </c>
      <c r="F2850" s="46" t="s">
        <v>6612</v>
      </c>
      <c r="G2850" s="46" t="n">
        <f aca="false">+593995961407</f>
        <v>593995961407</v>
      </c>
      <c r="H2850" s="46" t="s">
        <v>6613</v>
      </c>
      <c r="I2850" s="46"/>
      <c r="J2850" s="1"/>
      <c r="K2850" s="1" t="s">
        <v>6478</v>
      </c>
      <c r="L2850" s="1"/>
      <c r="M2850" s="1"/>
      <c r="N2850" s="1"/>
      <c r="O2850" s="1"/>
      <c r="P2850" s="6"/>
      <c r="Q2850" s="1"/>
      <c r="R2850" s="1"/>
      <c r="S2850" s="1"/>
      <c r="T2850" s="1"/>
      <c r="U2850" s="1"/>
      <c r="V2850" s="1"/>
      <c r="W2850" s="1"/>
      <c r="X2850" s="1"/>
      <c r="Y2850" s="1"/>
      <c r="Z2850" s="1"/>
    </row>
    <row r="2851" customFormat="false" ht="21.75" hidden="false" customHeight="true" outlineLevel="0" collapsed="false">
      <c r="A2851" s="4" t="n">
        <v>43502</v>
      </c>
      <c r="B2851" s="53" t="s">
        <v>178</v>
      </c>
      <c r="C2851" s="46" t="s">
        <v>15</v>
      </c>
      <c r="D2851" s="46" t="s">
        <v>43</v>
      </c>
      <c r="E2851" s="46" t="s">
        <v>44</v>
      </c>
      <c r="F2851" s="46" t="s">
        <v>6614</v>
      </c>
      <c r="G2851" s="46" t="n">
        <f aca="false">+593987788531</f>
        <v>593987788531</v>
      </c>
      <c r="H2851" s="46" t="s">
        <v>6615</v>
      </c>
      <c r="I2851" s="46"/>
      <c r="J2851" s="1"/>
      <c r="K2851" s="1" t="s">
        <v>6616</v>
      </c>
      <c r="L2851" s="1"/>
      <c r="M2851" s="1"/>
      <c r="N2851" s="1"/>
      <c r="O2851" s="1"/>
      <c r="P2851" s="6"/>
      <c r="Q2851" s="1"/>
      <c r="R2851" s="1"/>
      <c r="S2851" s="1"/>
      <c r="T2851" s="1"/>
      <c r="U2851" s="1"/>
      <c r="V2851" s="1"/>
      <c r="W2851" s="1"/>
      <c r="X2851" s="1"/>
      <c r="Y2851" s="1"/>
      <c r="Z2851" s="1"/>
    </row>
    <row r="2852" customFormat="false" ht="21.75" hidden="false" customHeight="true" outlineLevel="0" collapsed="false">
      <c r="A2852" s="4" t="n">
        <v>43502</v>
      </c>
      <c r="B2852" s="53" t="s">
        <v>178</v>
      </c>
      <c r="C2852" s="46" t="s">
        <v>15</v>
      </c>
      <c r="D2852" s="46" t="s">
        <v>43</v>
      </c>
      <c r="E2852" s="46" t="s">
        <v>44</v>
      </c>
      <c r="F2852" s="46" t="s">
        <v>6617</v>
      </c>
      <c r="G2852" s="46" t="n">
        <f aca="false">+593959228048</f>
        <v>593959228048</v>
      </c>
      <c r="H2852" s="46" t="s">
        <v>6618</v>
      </c>
      <c r="I2852" s="46"/>
      <c r="J2852" s="1"/>
      <c r="K2852" s="73" t="s">
        <v>6619</v>
      </c>
      <c r="L2852" s="1"/>
      <c r="M2852" s="1"/>
      <c r="N2852" s="1"/>
      <c r="O2852" s="1"/>
      <c r="P2852" s="6"/>
      <c r="Q2852" s="1"/>
      <c r="R2852" s="1"/>
      <c r="S2852" s="1"/>
      <c r="T2852" s="1"/>
      <c r="U2852" s="1"/>
      <c r="V2852" s="1"/>
      <c r="W2852" s="1"/>
      <c r="X2852" s="1"/>
      <c r="Y2852" s="1"/>
      <c r="Z2852" s="1"/>
    </row>
    <row r="2853" customFormat="false" ht="21.75" hidden="false" customHeight="true" outlineLevel="0" collapsed="false">
      <c r="A2853" s="4" t="n">
        <v>43502</v>
      </c>
      <c r="B2853" s="53" t="s">
        <v>81</v>
      </c>
      <c r="C2853" s="46" t="s">
        <v>15</v>
      </c>
      <c r="D2853" s="46" t="s">
        <v>43</v>
      </c>
      <c r="E2853" s="46" t="s">
        <v>44</v>
      </c>
      <c r="F2853" s="46" t="s">
        <v>6620</v>
      </c>
      <c r="G2853" s="46" t="n">
        <f aca="false">+593979051939</f>
        <v>593979051939</v>
      </c>
      <c r="H2853" s="46" t="s">
        <v>6621</v>
      </c>
      <c r="I2853" s="46"/>
      <c r="J2853" s="1"/>
      <c r="K2853" s="1" t="s">
        <v>6622</v>
      </c>
      <c r="L2853" s="1"/>
      <c r="M2853" s="1"/>
      <c r="N2853" s="1"/>
      <c r="O2853" s="1"/>
      <c r="P2853" s="6"/>
      <c r="Q2853" s="1"/>
      <c r="R2853" s="1"/>
      <c r="S2853" s="1"/>
      <c r="T2853" s="1"/>
      <c r="U2853" s="1"/>
      <c r="V2853" s="1"/>
      <c r="W2853" s="1"/>
      <c r="X2853" s="1"/>
      <c r="Y2853" s="1"/>
      <c r="Z2853" s="1"/>
    </row>
    <row r="2854" customFormat="false" ht="21.75" hidden="false" customHeight="true" outlineLevel="0" collapsed="false">
      <c r="A2854" s="4" t="n">
        <v>43502</v>
      </c>
      <c r="B2854" s="53" t="s">
        <v>911</v>
      </c>
      <c r="C2854" s="46" t="s">
        <v>15</v>
      </c>
      <c r="D2854" s="46" t="s">
        <v>16</v>
      </c>
      <c r="E2854" s="46" t="s">
        <v>17</v>
      </c>
      <c r="F2854" s="46" t="s">
        <v>6623</v>
      </c>
      <c r="G2854" s="46" t="n">
        <f aca="false">+593992215517</f>
        <v>593992215517</v>
      </c>
      <c r="H2854" s="46" t="s">
        <v>6624</v>
      </c>
      <c r="I2854" s="46"/>
      <c r="J2854" s="1"/>
      <c r="K2854" s="1" t="s">
        <v>3372</v>
      </c>
      <c r="L2854" s="1"/>
      <c r="M2854" s="1"/>
      <c r="N2854" s="1"/>
      <c r="O2854" s="1"/>
      <c r="P2854" s="6"/>
      <c r="Q2854" s="1"/>
      <c r="R2854" s="1"/>
      <c r="S2854" s="1"/>
      <c r="T2854" s="1"/>
      <c r="U2854" s="1"/>
      <c r="V2854" s="1"/>
      <c r="W2854" s="1"/>
      <c r="X2854" s="1"/>
      <c r="Y2854" s="1"/>
      <c r="Z2854" s="1"/>
    </row>
    <row r="2855" customFormat="false" ht="21.75" hidden="false" customHeight="true" outlineLevel="0" collapsed="false">
      <c r="A2855" s="4" t="n">
        <v>43502</v>
      </c>
      <c r="B2855" s="53" t="s">
        <v>14</v>
      </c>
      <c r="C2855" s="46" t="s">
        <v>15</v>
      </c>
      <c r="D2855" s="46" t="s">
        <v>16</v>
      </c>
      <c r="E2855" s="46" t="s">
        <v>17</v>
      </c>
      <c r="F2855" s="46" t="s">
        <v>6625</v>
      </c>
      <c r="G2855" s="46" t="n">
        <f aca="false">+593985682587</f>
        <v>593985682587</v>
      </c>
      <c r="H2855" s="46" t="s">
        <v>6626</v>
      </c>
      <c r="I2855" s="46"/>
      <c r="J2855" s="1"/>
      <c r="K2855" s="1" t="s">
        <v>3372</v>
      </c>
      <c r="L2855" s="1"/>
      <c r="M2855" s="1"/>
      <c r="N2855" s="1"/>
      <c r="O2855" s="1"/>
      <c r="P2855" s="6"/>
      <c r="Q2855" s="1"/>
      <c r="R2855" s="1"/>
      <c r="S2855" s="1"/>
      <c r="T2855" s="1"/>
      <c r="U2855" s="1"/>
      <c r="V2855" s="1"/>
      <c r="W2855" s="1"/>
      <c r="X2855" s="1"/>
      <c r="Y2855" s="1"/>
      <c r="Z2855" s="1"/>
    </row>
    <row r="2856" customFormat="false" ht="21.75" hidden="false" customHeight="true" outlineLevel="0" collapsed="false">
      <c r="A2856" s="4" t="n">
        <v>43502</v>
      </c>
      <c r="B2856" s="53" t="s">
        <v>911</v>
      </c>
      <c r="C2856" s="46" t="s">
        <v>15</v>
      </c>
      <c r="D2856" s="46" t="s">
        <v>16</v>
      </c>
      <c r="E2856" s="46" t="s">
        <v>17</v>
      </c>
      <c r="F2856" s="46" t="s">
        <v>6627</v>
      </c>
      <c r="G2856" s="46" t="n">
        <f aca="false">+593939188504</f>
        <v>593939188504</v>
      </c>
      <c r="H2856" s="46" t="s">
        <v>6628</v>
      </c>
      <c r="I2856" s="46"/>
      <c r="J2856" s="1"/>
      <c r="K2856" s="1" t="s">
        <v>4525</v>
      </c>
      <c r="L2856" s="1"/>
      <c r="M2856" s="1"/>
      <c r="N2856" s="1"/>
      <c r="O2856" s="1"/>
      <c r="P2856" s="6"/>
      <c r="Q2856" s="1"/>
      <c r="R2856" s="1"/>
      <c r="S2856" s="1"/>
      <c r="T2856" s="1"/>
      <c r="U2856" s="1"/>
      <c r="V2856" s="1"/>
      <c r="W2856" s="1"/>
      <c r="X2856" s="1"/>
      <c r="Y2856" s="1"/>
      <c r="Z2856" s="1"/>
    </row>
    <row r="2857" customFormat="false" ht="21.75" hidden="false" customHeight="true" outlineLevel="0" collapsed="false">
      <c r="A2857" s="4" t="n">
        <v>43502</v>
      </c>
      <c r="B2857" s="53" t="s">
        <v>48</v>
      </c>
      <c r="C2857" s="46" t="s">
        <v>15</v>
      </c>
      <c r="D2857" s="52" t="s">
        <v>43</v>
      </c>
      <c r="E2857" s="52" t="s">
        <v>883</v>
      </c>
      <c r="F2857" s="50" t="s">
        <v>6629</v>
      </c>
      <c r="G2857" s="51" t="n">
        <v>998680110</v>
      </c>
      <c r="H2857" s="52" t="s">
        <v>6630</v>
      </c>
      <c r="I2857" s="52"/>
      <c r="J2857" s="1"/>
      <c r="K2857" s="1" t="s">
        <v>1156</v>
      </c>
      <c r="L2857" s="1" t="s">
        <v>1156</v>
      </c>
      <c r="M2857" s="1"/>
      <c r="N2857" s="1"/>
      <c r="O2857" s="1"/>
      <c r="P2857" s="6"/>
      <c r="Q2857" s="1"/>
      <c r="R2857" s="1"/>
      <c r="S2857" s="1"/>
      <c r="T2857" s="1"/>
      <c r="U2857" s="1"/>
      <c r="V2857" s="1"/>
      <c r="W2857" s="1"/>
      <c r="X2857" s="1"/>
      <c r="Y2857" s="1"/>
      <c r="Z2857" s="1"/>
    </row>
    <row r="2858" customFormat="false" ht="21.75" hidden="false" customHeight="true" outlineLevel="0" collapsed="false">
      <c r="A2858" s="4" t="n">
        <v>43502</v>
      </c>
      <c r="B2858" s="53" t="s">
        <v>48</v>
      </c>
      <c r="C2858" s="46" t="s">
        <v>15</v>
      </c>
      <c r="D2858" s="52" t="s">
        <v>43</v>
      </c>
      <c r="E2858" s="52" t="s">
        <v>44</v>
      </c>
      <c r="F2858" s="52" t="s">
        <v>6631</v>
      </c>
      <c r="G2858" s="52"/>
      <c r="H2858" s="52" t="s">
        <v>6632</v>
      </c>
      <c r="I2858" s="52"/>
      <c r="J2858" s="1"/>
      <c r="K2858" s="1" t="s">
        <v>6633</v>
      </c>
      <c r="L2858" s="1"/>
      <c r="M2858" s="1"/>
      <c r="N2858" s="1"/>
      <c r="O2858" s="1"/>
      <c r="P2858" s="6"/>
      <c r="Q2858" s="1"/>
      <c r="R2858" s="1"/>
      <c r="S2858" s="1"/>
      <c r="T2858" s="1"/>
      <c r="U2858" s="1"/>
      <c r="V2858" s="1"/>
      <c r="W2858" s="1"/>
      <c r="X2858" s="1"/>
      <c r="Y2858" s="1"/>
      <c r="Z2858" s="1"/>
    </row>
    <row r="2859" customFormat="false" ht="21.75" hidden="false" customHeight="true" outlineLevel="0" collapsed="false">
      <c r="A2859" s="4" t="n">
        <v>43502</v>
      </c>
      <c r="B2859" s="53" t="s">
        <v>48</v>
      </c>
      <c r="C2859" s="46" t="s">
        <v>15</v>
      </c>
      <c r="D2859" s="52" t="s">
        <v>43</v>
      </c>
      <c r="E2859" s="52" t="s">
        <v>883</v>
      </c>
      <c r="F2859" s="50" t="s">
        <v>6634</v>
      </c>
      <c r="G2859" s="51" t="n">
        <v>993241510</v>
      </c>
      <c r="H2859" s="52" t="s">
        <v>6635</v>
      </c>
      <c r="I2859" s="52"/>
      <c r="J2859" s="1"/>
      <c r="K2859" s="1" t="s">
        <v>1156</v>
      </c>
      <c r="L2859" s="1" t="s">
        <v>1156</v>
      </c>
      <c r="M2859" s="1"/>
      <c r="N2859" s="1"/>
      <c r="O2859" s="1"/>
      <c r="P2859" s="6"/>
      <c r="Q2859" s="1"/>
      <c r="R2859" s="1"/>
      <c r="S2859" s="1"/>
      <c r="T2859" s="1"/>
      <c r="U2859" s="1"/>
      <c r="V2859" s="1"/>
      <c r="W2859" s="1"/>
      <c r="X2859" s="1"/>
      <c r="Y2859" s="1"/>
      <c r="Z2859" s="1"/>
    </row>
    <row r="2860" customFormat="false" ht="21.75" hidden="false" customHeight="true" outlineLevel="0" collapsed="false">
      <c r="A2860" s="4" t="n">
        <v>43502</v>
      </c>
      <c r="B2860" s="53" t="s">
        <v>48</v>
      </c>
      <c r="C2860" s="46" t="s">
        <v>15</v>
      </c>
      <c r="D2860" s="52" t="s">
        <v>43</v>
      </c>
      <c r="E2860" s="52" t="s">
        <v>44</v>
      </c>
      <c r="F2860" s="50" t="s">
        <v>6636</v>
      </c>
      <c r="G2860" s="51" t="n">
        <v>958764211</v>
      </c>
      <c r="H2860" s="52" t="s">
        <v>6637</v>
      </c>
      <c r="I2860" s="52"/>
      <c r="J2860" s="1"/>
      <c r="K2860" s="1" t="s">
        <v>6638</v>
      </c>
      <c r="L2860" s="1"/>
      <c r="M2860" s="1"/>
      <c r="N2860" s="1"/>
      <c r="O2860" s="1"/>
      <c r="P2860" s="6"/>
      <c r="Q2860" s="1"/>
      <c r="R2860" s="1"/>
      <c r="S2860" s="1"/>
      <c r="T2860" s="1"/>
      <c r="U2860" s="1"/>
      <c r="V2860" s="1"/>
      <c r="W2860" s="1"/>
      <c r="X2860" s="1"/>
      <c r="Y2860" s="1"/>
      <c r="Z2860" s="1"/>
    </row>
    <row r="2861" customFormat="false" ht="21.75" hidden="false" customHeight="true" outlineLevel="0" collapsed="false">
      <c r="A2861" s="4" t="n">
        <v>43502</v>
      </c>
      <c r="B2861" s="53" t="s">
        <v>48</v>
      </c>
      <c r="C2861" s="46" t="s">
        <v>15</v>
      </c>
      <c r="D2861" s="52" t="s">
        <v>43</v>
      </c>
      <c r="E2861" s="52" t="s">
        <v>44</v>
      </c>
      <c r="F2861" s="50" t="s">
        <v>6639</v>
      </c>
      <c r="G2861" s="51" t="n">
        <v>982501226</v>
      </c>
      <c r="H2861" s="52" t="s">
        <v>6640</v>
      </c>
      <c r="I2861" s="52"/>
      <c r="J2861" s="1"/>
      <c r="K2861" s="1" t="s">
        <v>6641</v>
      </c>
      <c r="L2861" s="1"/>
      <c r="M2861" s="1"/>
      <c r="N2861" s="1"/>
      <c r="O2861" s="1"/>
      <c r="P2861" s="6"/>
      <c r="Q2861" s="1"/>
      <c r="R2861" s="1"/>
      <c r="S2861" s="1"/>
      <c r="T2861" s="1"/>
      <c r="U2861" s="1"/>
      <c r="V2861" s="1"/>
      <c r="W2861" s="1"/>
      <c r="X2861" s="1"/>
      <c r="Y2861" s="1"/>
      <c r="Z2861" s="1"/>
    </row>
    <row r="2862" customFormat="false" ht="21.75" hidden="false" customHeight="true" outlineLevel="0" collapsed="false">
      <c r="A2862" s="4" t="n">
        <v>43502</v>
      </c>
      <c r="B2862" s="53" t="s">
        <v>48</v>
      </c>
      <c r="C2862" s="46" t="s">
        <v>15</v>
      </c>
      <c r="D2862" s="52" t="s">
        <v>43</v>
      </c>
      <c r="E2862" s="52" t="s">
        <v>109</v>
      </c>
      <c r="F2862" s="50" t="s">
        <v>3575</v>
      </c>
      <c r="G2862" s="51" t="n">
        <v>959567329</v>
      </c>
      <c r="H2862" s="52" t="s">
        <v>6642</v>
      </c>
      <c r="I2862" s="52"/>
      <c r="J2862" s="1"/>
      <c r="K2862" s="1" t="s">
        <v>6643</v>
      </c>
      <c r="L2862" s="1"/>
      <c r="M2862" s="1"/>
      <c r="N2862" s="1"/>
      <c r="O2862" s="1"/>
      <c r="P2862" s="6"/>
      <c r="Q2862" s="1"/>
      <c r="R2862" s="1"/>
      <c r="S2862" s="1"/>
      <c r="T2862" s="1"/>
      <c r="U2862" s="1"/>
      <c r="V2862" s="1"/>
      <c r="W2862" s="1"/>
      <c r="X2862" s="1"/>
      <c r="Y2862" s="1"/>
      <c r="Z2862" s="1"/>
    </row>
    <row r="2863" customFormat="false" ht="21.75" hidden="false" customHeight="true" outlineLevel="0" collapsed="false">
      <c r="A2863" s="4" t="n">
        <v>43502</v>
      </c>
      <c r="B2863" s="53" t="s">
        <v>178</v>
      </c>
      <c r="C2863" s="46" t="s">
        <v>15</v>
      </c>
      <c r="D2863" s="52" t="s">
        <v>43</v>
      </c>
      <c r="E2863" s="52" t="s">
        <v>44</v>
      </c>
      <c r="F2863" s="50" t="s">
        <v>6195</v>
      </c>
      <c r="G2863" s="51" t="n">
        <v>982805255</v>
      </c>
      <c r="H2863" s="52" t="s">
        <v>6196</v>
      </c>
      <c r="I2863" s="52"/>
      <c r="J2863" s="1"/>
      <c r="K2863" s="1" t="s">
        <v>5481</v>
      </c>
      <c r="L2863" s="1" t="s">
        <v>1156</v>
      </c>
      <c r="M2863" s="1"/>
      <c r="N2863" s="1"/>
      <c r="O2863" s="1"/>
      <c r="P2863" s="6"/>
      <c r="Q2863" s="1"/>
      <c r="R2863" s="1"/>
      <c r="S2863" s="1"/>
      <c r="T2863" s="1"/>
      <c r="U2863" s="1"/>
      <c r="V2863" s="1"/>
      <c r="W2863" s="1"/>
      <c r="X2863" s="1"/>
      <c r="Y2863" s="1"/>
      <c r="Z2863" s="1"/>
    </row>
    <row r="2864" customFormat="false" ht="21.75" hidden="false" customHeight="true" outlineLevel="0" collapsed="false">
      <c r="A2864" s="4" t="n">
        <v>43502</v>
      </c>
      <c r="B2864" s="53" t="s">
        <v>352</v>
      </c>
      <c r="C2864" s="46" t="s">
        <v>15</v>
      </c>
      <c r="D2864" s="52" t="s">
        <v>43</v>
      </c>
      <c r="E2864" s="52" t="s">
        <v>109</v>
      </c>
      <c r="F2864" s="50" t="s">
        <v>6644</v>
      </c>
      <c r="G2864" s="51" t="n">
        <v>993675447</v>
      </c>
      <c r="H2864" s="52" t="s">
        <v>6645</v>
      </c>
      <c r="I2864" s="52"/>
      <c r="J2864" s="1"/>
      <c r="K2864" s="1" t="s">
        <v>1156</v>
      </c>
      <c r="L2864" s="1"/>
      <c r="M2864" s="1"/>
      <c r="N2864" s="1"/>
      <c r="O2864" s="1"/>
      <c r="P2864" s="6"/>
      <c r="Q2864" s="1"/>
      <c r="R2864" s="1"/>
      <c r="S2864" s="1"/>
      <c r="T2864" s="1"/>
      <c r="U2864" s="1"/>
      <c r="V2864" s="1"/>
      <c r="W2864" s="1"/>
      <c r="X2864" s="1"/>
      <c r="Y2864" s="1"/>
      <c r="Z2864" s="1"/>
    </row>
    <row r="2865" customFormat="false" ht="21.75" hidden="false" customHeight="true" outlineLevel="0" collapsed="false">
      <c r="A2865" s="4" t="n">
        <v>43502</v>
      </c>
      <c r="B2865" s="53" t="s">
        <v>48</v>
      </c>
      <c r="C2865" s="46" t="s">
        <v>15</v>
      </c>
      <c r="D2865" s="52" t="s">
        <v>43</v>
      </c>
      <c r="E2865" s="52" t="s">
        <v>109</v>
      </c>
      <c r="F2865" s="50" t="s">
        <v>5844</v>
      </c>
      <c r="G2865" s="51" t="n">
        <v>998066080</v>
      </c>
      <c r="H2865" s="52" t="s">
        <v>5845</v>
      </c>
      <c r="I2865" s="52"/>
      <c r="J2865" s="1"/>
      <c r="K2865" s="1" t="s">
        <v>6646</v>
      </c>
      <c r="L2865" s="1"/>
      <c r="M2865" s="1"/>
      <c r="N2865" s="1"/>
      <c r="O2865" s="1"/>
      <c r="P2865" s="6"/>
      <c r="Q2865" s="1"/>
      <c r="R2865" s="1"/>
      <c r="S2865" s="1"/>
      <c r="T2865" s="1"/>
      <c r="U2865" s="1"/>
      <c r="V2865" s="1"/>
      <c r="W2865" s="1"/>
      <c r="X2865" s="1"/>
      <c r="Y2865" s="1"/>
      <c r="Z2865" s="1"/>
    </row>
    <row r="2866" customFormat="false" ht="21.75" hidden="false" customHeight="true" outlineLevel="0" collapsed="false">
      <c r="A2866" s="4" t="n">
        <v>43502</v>
      </c>
      <c r="B2866" s="53" t="s">
        <v>352</v>
      </c>
      <c r="C2866" s="46" t="s">
        <v>15</v>
      </c>
      <c r="D2866" s="52" t="s">
        <v>43</v>
      </c>
      <c r="E2866" s="52" t="s">
        <v>109</v>
      </c>
      <c r="F2866" s="50" t="s">
        <v>6647</v>
      </c>
      <c r="G2866" s="51" t="n">
        <v>72636933</v>
      </c>
      <c r="H2866" s="52" t="s">
        <v>6648</v>
      </c>
      <c r="I2866" s="52"/>
      <c r="J2866" s="1"/>
      <c r="K2866" s="1" t="s">
        <v>1156</v>
      </c>
      <c r="L2866" s="1" t="s">
        <v>6649</v>
      </c>
      <c r="M2866" s="1"/>
      <c r="N2866" s="1"/>
      <c r="O2866" s="1"/>
      <c r="P2866" s="6"/>
      <c r="Q2866" s="1"/>
      <c r="R2866" s="1"/>
      <c r="S2866" s="1"/>
      <c r="T2866" s="1"/>
      <c r="U2866" s="1"/>
      <c r="V2866" s="1"/>
      <c r="W2866" s="1"/>
      <c r="X2866" s="1"/>
      <c r="Y2866" s="1"/>
      <c r="Z2866" s="1"/>
    </row>
    <row r="2867" customFormat="false" ht="21.75" hidden="false" customHeight="true" outlineLevel="0" collapsed="false">
      <c r="A2867" s="4" t="n">
        <v>43502</v>
      </c>
      <c r="B2867" s="53" t="s">
        <v>14</v>
      </c>
      <c r="C2867" s="46" t="s">
        <v>15</v>
      </c>
      <c r="D2867" s="52" t="s">
        <v>16</v>
      </c>
      <c r="E2867" s="52" t="s">
        <v>17</v>
      </c>
      <c r="F2867" s="50" t="s">
        <v>6650</v>
      </c>
      <c r="G2867" s="51" t="n">
        <v>996191377</v>
      </c>
      <c r="H2867" s="52" t="s">
        <v>6651</v>
      </c>
      <c r="I2867" s="52"/>
      <c r="J2867" s="1"/>
      <c r="K2867" s="1" t="s">
        <v>3372</v>
      </c>
      <c r="L2867" s="1"/>
      <c r="M2867" s="1"/>
      <c r="N2867" s="1"/>
      <c r="O2867" s="1"/>
      <c r="P2867" s="6"/>
      <c r="Q2867" s="1"/>
      <c r="R2867" s="1"/>
      <c r="S2867" s="1"/>
      <c r="T2867" s="1"/>
      <c r="U2867" s="1"/>
      <c r="V2867" s="1"/>
      <c r="W2867" s="1"/>
      <c r="X2867" s="1"/>
      <c r="Y2867" s="1"/>
      <c r="Z2867" s="1"/>
    </row>
    <row r="2868" customFormat="false" ht="21.75" hidden="false" customHeight="true" outlineLevel="0" collapsed="false">
      <c r="A2868" s="4" t="n">
        <v>43502</v>
      </c>
      <c r="B2868" s="53" t="s">
        <v>48</v>
      </c>
      <c r="C2868" s="46" t="s">
        <v>15</v>
      </c>
      <c r="D2868" s="52" t="s">
        <v>43</v>
      </c>
      <c r="E2868" s="52" t="s">
        <v>109</v>
      </c>
      <c r="F2868" s="50" t="s">
        <v>6652</v>
      </c>
      <c r="G2868" s="52"/>
      <c r="H2868" s="52" t="s">
        <v>6653</v>
      </c>
      <c r="I2868" s="52"/>
      <c r="J2868" s="1"/>
      <c r="K2868" s="1" t="s">
        <v>6427</v>
      </c>
      <c r="L2868" s="1"/>
      <c r="M2868" s="1"/>
      <c r="N2868" s="1"/>
      <c r="O2868" s="1"/>
      <c r="P2868" s="6"/>
      <c r="Q2868" s="1"/>
      <c r="R2868" s="1"/>
      <c r="S2868" s="1"/>
      <c r="T2868" s="1"/>
      <c r="U2868" s="1"/>
      <c r="V2868" s="1"/>
      <c r="W2868" s="1"/>
      <c r="X2868" s="1"/>
      <c r="Y2868" s="1"/>
      <c r="Z2868" s="1"/>
    </row>
    <row r="2869" customFormat="false" ht="21.75" hidden="false" customHeight="true" outlineLevel="0" collapsed="false">
      <c r="A2869" s="4" t="n">
        <v>43502</v>
      </c>
      <c r="B2869" s="53" t="s">
        <v>86</v>
      </c>
      <c r="C2869" s="46" t="s">
        <v>15</v>
      </c>
      <c r="D2869" s="52" t="s">
        <v>16</v>
      </c>
      <c r="E2869" s="52" t="s">
        <v>17</v>
      </c>
      <c r="F2869" s="50" t="s">
        <v>6654</v>
      </c>
      <c r="G2869" s="51" t="n">
        <v>991174800</v>
      </c>
      <c r="H2869" s="52" t="s">
        <v>6655</v>
      </c>
      <c r="I2869" s="52"/>
      <c r="J2869" s="1"/>
      <c r="K2869" s="1" t="s">
        <v>6656</v>
      </c>
      <c r="L2869" s="1"/>
      <c r="M2869" s="1"/>
      <c r="N2869" s="1"/>
      <c r="O2869" s="1"/>
      <c r="P2869" s="6"/>
      <c r="Q2869" s="1"/>
      <c r="R2869" s="1"/>
      <c r="S2869" s="1"/>
      <c r="T2869" s="1"/>
      <c r="U2869" s="1"/>
      <c r="V2869" s="1"/>
      <c r="W2869" s="1"/>
      <c r="X2869" s="1"/>
      <c r="Y2869" s="1"/>
      <c r="Z2869" s="1"/>
    </row>
    <row r="2870" customFormat="false" ht="21.75" hidden="false" customHeight="true" outlineLevel="0" collapsed="false">
      <c r="A2870" s="4" t="n">
        <v>43502</v>
      </c>
      <c r="B2870" s="53" t="s">
        <v>48</v>
      </c>
      <c r="C2870" s="46" t="s">
        <v>15</v>
      </c>
      <c r="D2870" s="52" t="s">
        <v>43</v>
      </c>
      <c r="E2870" s="52" t="s">
        <v>883</v>
      </c>
      <c r="F2870" s="50" t="s">
        <v>6657</v>
      </c>
      <c r="G2870" s="51" t="n">
        <v>959255453</v>
      </c>
      <c r="H2870" s="52"/>
      <c r="I2870" s="52"/>
      <c r="J2870" s="1"/>
      <c r="K2870" s="1" t="s">
        <v>1156</v>
      </c>
      <c r="L2870" s="1" t="s">
        <v>6658</v>
      </c>
      <c r="M2870" s="1"/>
      <c r="N2870" s="1"/>
      <c r="O2870" s="1"/>
      <c r="P2870" s="6"/>
      <c r="Q2870" s="1"/>
      <c r="R2870" s="1"/>
      <c r="S2870" s="1"/>
      <c r="T2870" s="1"/>
      <c r="U2870" s="1"/>
      <c r="V2870" s="1"/>
      <c r="W2870" s="1"/>
      <c r="X2870" s="1"/>
      <c r="Y2870" s="1"/>
      <c r="Z2870" s="1"/>
    </row>
    <row r="2871" customFormat="false" ht="21.75" hidden="false" customHeight="true" outlineLevel="0" collapsed="false">
      <c r="A2871" s="4" t="n">
        <v>43502</v>
      </c>
      <c r="B2871" s="53" t="s">
        <v>42</v>
      </c>
      <c r="C2871" s="46" t="s">
        <v>15</v>
      </c>
      <c r="D2871" s="52" t="s">
        <v>43</v>
      </c>
      <c r="E2871" s="52" t="s">
        <v>109</v>
      </c>
      <c r="F2871" s="50" t="s">
        <v>6659</v>
      </c>
      <c r="G2871" s="51" t="n">
        <v>960834581</v>
      </c>
      <c r="H2871" s="52" t="s">
        <v>6660</v>
      </c>
      <c r="I2871" s="52"/>
      <c r="J2871" s="1"/>
      <c r="K2871" s="1" t="s">
        <v>1156</v>
      </c>
      <c r="L2871" s="1" t="s">
        <v>1156</v>
      </c>
      <c r="M2871" s="1"/>
      <c r="N2871" s="1"/>
      <c r="O2871" s="1"/>
      <c r="P2871" s="6"/>
      <c r="Q2871" s="1"/>
      <c r="R2871" s="1"/>
      <c r="S2871" s="1"/>
      <c r="T2871" s="1"/>
      <c r="U2871" s="1"/>
      <c r="V2871" s="1"/>
      <c r="W2871" s="1"/>
      <c r="X2871" s="1"/>
      <c r="Y2871" s="1"/>
      <c r="Z2871" s="1"/>
    </row>
    <row r="2872" customFormat="false" ht="21.75" hidden="false" customHeight="true" outlineLevel="0" collapsed="false">
      <c r="A2872" s="4" t="n">
        <v>43502</v>
      </c>
      <c r="B2872" s="53" t="s">
        <v>48</v>
      </c>
      <c r="C2872" s="46" t="s">
        <v>15</v>
      </c>
      <c r="D2872" s="52" t="s">
        <v>43</v>
      </c>
      <c r="E2872" s="52" t="s">
        <v>44</v>
      </c>
      <c r="F2872" s="50" t="s">
        <v>6661</v>
      </c>
      <c r="G2872" s="51" t="n">
        <v>967935010</v>
      </c>
      <c r="H2872" s="52" t="s">
        <v>6662</v>
      </c>
      <c r="I2872" s="52"/>
      <c r="J2872" s="1"/>
      <c r="K2872" s="1" t="s">
        <v>1156</v>
      </c>
      <c r="L2872" s="1" t="s">
        <v>1156</v>
      </c>
      <c r="M2872" s="1"/>
      <c r="N2872" s="1"/>
      <c r="O2872" s="1"/>
      <c r="P2872" s="6"/>
      <c r="Q2872" s="1"/>
      <c r="R2872" s="1"/>
      <c r="S2872" s="1"/>
      <c r="T2872" s="1"/>
      <c r="U2872" s="1"/>
      <c r="V2872" s="1"/>
      <c r="W2872" s="1"/>
      <c r="X2872" s="1"/>
      <c r="Y2872" s="1"/>
      <c r="Z2872" s="1"/>
    </row>
    <row r="2873" customFormat="false" ht="21.75" hidden="false" customHeight="true" outlineLevel="0" collapsed="false">
      <c r="A2873" s="4" t="n">
        <v>43502</v>
      </c>
      <c r="B2873" s="53" t="s">
        <v>1114</v>
      </c>
      <c r="C2873" s="46" t="s">
        <v>15</v>
      </c>
      <c r="D2873" s="52" t="s">
        <v>43</v>
      </c>
      <c r="E2873" s="52" t="s">
        <v>109</v>
      </c>
      <c r="F2873" s="50" t="s">
        <v>6663</v>
      </c>
      <c r="G2873" s="51" t="n">
        <v>939711641</v>
      </c>
      <c r="H2873" s="52" t="s">
        <v>6664</v>
      </c>
      <c r="I2873" s="52"/>
      <c r="J2873" s="1"/>
      <c r="K2873" s="1" t="s">
        <v>6665</v>
      </c>
      <c r="L2873" s="1"/>
      <c r="M2873" s="1"/>
      <c r="N2873" s="1"/>
      <c r="O2873" s="1"/>
      <c r="P2873" s="6"/>
      <c r="Q2873" s="1"/>
      <c r="R2873" s="1"/>
      <c r="S2873" s="1"/>
      <c r="T2873" s="1"/>
      <c r="U2873" s="1"/>
      <c r="V2873" s="1"/>
      <c r="W2873" s="1"/>
      <c r="X2873" s="1"/>
      <c r="Y2873" s="1"/>
      <c r="Z2873" s="1"/>
    </row>
    <row r="2874" customFormat="false" ht="21.75" hidden="false" customHeight="true" outlineLevel="0" collapsed="false">
      <c r="A2874" s="4" t="n">
        <v>43502</v>
      </c>
      <c r="B2874" s="53" t="s">
        <v>48</v>
      </c>
      <c r="C2874" s="46" t="s">
        <v>15</v>
      </c>
      <c r="D2874" s="52" t="s">
        <v>43</v>
      </c>
      <c r="E2874" s="52" t="s">
        <v>109</v>
      </c>
      <c r="F2874" s="50" t="s">
        <v>6666</v>
      </c>
      <c r="G2874" s="51" t="n">
        <v>978933455</v>
      </c>
      <c r="H2874" s="52" t="s">
        <v>6667</v>
      </c>
      <c r="I2874" s="52"/>
      <c r="J2874" s="1"/>
      <c r="K2874" s="1" t="s">
        <v>6668</v>
      </c>
      <c r="L2874" s="1"/>
      <c r="M2874" s="1"/>
      <c r="N2874" s="1"/>
      <c r="O2874" s="1"/>
      <c r="P2874" s="6"/>
      <c r="Q2874" s="1"/>
      <c r="R2874" s="1"/>
      <c r="S2874" s="1"/>
      <c r="T2874" s="1"/>
      <c r="U2874" s="1"/>
      <c r="V2874" s="1"/>
      <c r="W2874" s="1"/>
      <c r="X2874" s="1"/>
      <c r="Y2874" s="1"/>
      <c r="Z2874" s="1"/>
    </row>
    <row r="2875" customFormat="false" ht="21.75" hidden="false" customHeight="true" outlineLevel="0" collapsed="false">
      <c r="A2875" s="4" t="n">
        <v>43502</v>
      </c>
      <c r="B2875" s="53" t="s">
        <v>48</v>
      </c>
      <c r="C2875" s="46" t="s">
        <v>15</v>
      </c>
      <c r="D2875" s="52" t="s">
        <v>43</v>
      </c>
      <c r="E2875" s="52" t="s">
        <v>109</v>
      </c>
      <c r="F2875" s="50" t="s">
        <v>6669</v>
      </c>
      <c r="G2875" s="51" t="n">
        <v>982578401</v>
      </c>
      <c r="H2875" s="52" t="s">
        <v>6670</v>
      </c>
      <c r="I2875" s="52"/>
      <c r="J2875" s="1"/>
      <c r="K2875" s="1" t="s">
        <v>6671</v>
      </c>
      <c r="L2875" s="1"/>
      <c r="M2875" s="1"/>
      <c r="N2875" s="1"/>
      <c r="O2875" s="1"/>
      <c r="P2875" s="6"/>
      <c r="Q2875" s="1"/>
      <c r="R2875" s="1"/>
      <c r="S2875" s="1"/>
      <c r="T2875" s="1"/>
      <c r="U2875" s="1"/>
      <c r="V2875" s="1"/>
      <c r="W2875" s="1"/>
      <c r="X2875" s="1"/>
      <c r="Y2875" s="1"/>
      <c r="Z2875" s="1"/>
    </row>
    <row r="2876" customFormat="false" ht="21.75" hidden="false" customHeight="true" outlineLevel="0" collapsed="false">
      <c r="A2876" s="4" t="n">
        <v>43502</v>
      </c>
      <c r="B2876" s="53" t="s">
        <v>48</v>
      </c>
      <c r="C2876" s="46" t="s">
        <v>15</v>
      </c>
      <c r="D2876" s="52" t="s">
        <v>43</v>
      </c>
      <c r="E2876" s="52" t="s">
        <v>109</v>
      </c>
      <c r="F2876" s="50" t="s">
        <v>6672</v>
      </c>
      <c r="G2876" s="51" t="n">
        <v>969679763</v>
      </c>
      <c r="H2876" s="52" t="s">
        <v>6673</v>
      </c>
      <c r="I2876" s="52"/>
      <c r="J2876" s="1"/>
      <c r="K2876" s="1" t="s">
        <v>1156</v>
      </c>
      <c r="L2876" s="1" t="s">
        <v>1149</v>
      </c>
      <c r="M2876" s="1"/>
      <c r="N2876" s="1"/>
      <c r="O2876" s="1"/>
      <c r="P2876" s="6"/>
      <c r="Q2876" s="1"/>
      <c r="R2876" s="1"/>
      <c r="S2876" s="1"/>
      <c r="T2876" s="1"/>
      <c r="U2876" s="1"/>
      <c r="V2876" s="1"/>
      <c r="W2876" s="1"/>
      <c r="X2876" s="1"/>
      <c r="Y2876" s="1"/>
      <c r="Z2876" s="1"/>
    </row>
    <row r="2877" customFormat="false" ht="21.75" hidden="false" customHeight="true" outlineLevel="0" collapsed="false">
      <c r="A2877" s="4" t="n">
        <v>43502</v>
      </c>
      <c r="B2877" s="53" t="s">
        <v>127</v>
      </c>
      <c r="C2877" s="46" t="s">
        <v>15</v>
      </c>
      <c r="D2877" s="52" t="s">
        <v>43</v>
      </c>
      <c r="E2877" s="52" t="s">
        <v>44</v>
      </c>
      <c r="F2877" s="70" t="s">
        <v>6674</v>
      </c>
      <c r="G2877" s="70"/>
      <c r="H2877" s="52" t="s">
        <v>6675</v>
      </c>
      <c r="I2877" s="52"/>
      <c r="J2877" s="1"/>
      <c r="K2877" s="1" t="s">
        <v>6427</v>
      </c>
      <c r="L2877" s="1"/>
      <c r="M2877" s="1"/>
      <c r="N2877" s="1"/>
      <c r="O2877" s="1"/>
      <c r="P2877" s="6"/>
      <c r="Q2877" s="1"/>
      <c r="R2877" s="1"/>
      <c r="S2877" s="1"/>
      <c r="T2877" s="1"/>
      <c r="U2877" s="1"/>
      <c r="V2877" s="1"/>
      <c r="W2877" s="1"/>
      <c r="X2877" s="1"/>
      <c r="Y2877" s="1"/>
      <c r="Z2877" s="1"/>
    </row>
    <row r="2878" customFormat="false" ht="21.75" hidden="false" customHeight="true" outlineLevel="0" collapsed="false">
      <c r="A2878" s="4" t="n">
        <v>43502</v>
      </c>
      <c r="B2878" s="53" t="s">
        <v>352</v>
      </c>
      <c r="C2878" s="46" t="s">
        <v>15</v>
      </c>
      <c r="D2878" s="52" t="s">
        <v>43</v>
      </c>
      <c r="E2878" s="52" t="s">
        <v>109</v>
      </c>
      <c r="F2878" s="50" t="s">
        <v>6676</v>
      </c>
      <c r="G2878" s="51" t="n">
        <v>993882571</v>
      </c>
      <c r="H2878" s="52" t="s">
        <v>6677</v>
      </c>
      <c r="I2878" s="52"/>
      <c r="J2878" s="1"/>
      <c r="K2878" s="1" t="s">
        <v>6678</v>
      </c>
      <c r="L2878" s="1"/>
      <c r="M2878" s="1"/>
      <c r="N2878" s="1"/>
      <c r="O2878" s="1"/>
      <c r="P2878" s="6"/>
      <c r="Q2878" s="1"/>
      <c r="R2878" s="1"/>
      <c r="S2878" s="1"/>
      <c r="T2878" s="1"/>
      <c r="U2878" s="1"/>
      <c r="V2878" s="1"/>
      <c r="W2878" s="1"/>
      <c r="X2878" s="1"/>
      <c r="Y2878" s="1"/>
      <c r="Z2878" s="1"/>
    </row>
    <row r="2879" customFormat="false" ht="21.75" hidden="false" customHeight="true" outlineLevel="0" collapsed="false">
      <c r="A2879" s="4" t="n">
        <v>43502</v>
      </c>
      <c r="B2879" s="53" t="s">
        <v>127</v>
      </c>
      <c r="C2879" s="46" t="s">
        <v>15</v>
      </c>
      <c r="D2879" s="52" t="s">
        <v>43</v>
      </c>
      <c r="E2879" s="52" t="s">
        <v>44</v>
      </c>
      <c r="F2879" s="50" t="s">
        <v>6679</v>
      </c>
      <c r="G2879" s="51" t="n">
        <v>982215118</v>
      </c>
      <c r="H2879" s="52" t="s">
        <v>6680</v>
      </c>
      <c r="I2879" s="52"/>
      <c r="J2879" s="1"/>
      <c r="K2879" s="1" t="s">
        <v>6386</v>
      </c>
      <c r="L2879" s="1"/>
      <c r="M2879" s="1"/>
      <c r="N2879" s="1"/>
      <c r="O2879" s="1"/>
      <c r="P2879" s="6"/>
      <c r="Q2879" s="1"/>
      <c r="R2879" s="1"/>
      <c r="S2879" s="1"/>
      <c r="T2879" s="1"/>
      <c r="U2879" s="1"/>
      <c r="V2879" s="1"/>
      <c r="W2879" s="1"/>
      <c r="X2879" s="1"/>
      <c r="Y2879" s="1"/>
      <c r="Z2879" s="1"/>
    </row>
    <row r="2880" customFormat="false" ht="21.75" hidden="false" customHeight="true" outlineLevel="0" collapsed="false">
      <c r="A2880" s="4" t="n">
        <v>43502</v>
      </c>
      <c r="B2880" s="53" t="s">
        <v>323</v>
      </c>
      <c r="C2880" s="46" t="s">
        <v>15</v>
      </c>
      <c r="D2880" s="52" t="s">
        <v>43</v>
      </c>
      <c r="E2880" s="52" t="s">
        <v>109</v>
      </c>
      <c r="F2880" s="50" t="s">
        <v>6681</v>
      </c>
      <c r="G2880" s="51" t="n">
        <v>960837599</v>
      </c>
      <c r="H2880" s="52" t="s">
        <v>6682</v>
      </c>
      <c r="I2880" s="52"/>
      <c r="J2880" s="1"/>
      <c r="K2880" s="1" t="s">
        <v>1156</v>
      </c>
      <c r="L2880" s="1" t="s">
        <v>21</v>
      </c>
      <c r="M2880" s="1"/>
      <c r="N2880" s="1"/>
      <c r="O2880" s="1"/>
      <c r="P2880" s="6"/>
      <c r="Q2880" s="1"/>
      <c r="R2880" s="1"/>
      <c r="S2880" s="1"/>
      <c r="T2880" s="1"/>
      <c r="U2880" s="1"/>
      <c r="V2880" s="1"/>
      <c r="W2880" s="1"/>
      <c r="X2880" s="1"/>
      <c r="Y2880" s="1"/>
      <c r="Z2880" s="1"/>
    </row>
    <row r="2881" customFormat="false" ht="21.75" hidden="false" customHeight="true" outlineLevel="0" collapsed="false">
      <c r="A2881" s="4" t="n">
        <v>43502</v>
      </c>
      <c r="B2881" s="53" t="s">
        <v>964</v>
      </c>
      <c r="C2881" s="46" t="s">
        <v>15</v>
      </c>
      <c r="D2881" s="52" t="s">
        <v>43</v>
      </c>
      <c r="E2881" s="52" t="s">
        <v>17</v>
      </c>
      <c r="F2881" s="70" t="s">
        <v>6683</v>
      </c>
      <c r="G2881" s="70"/>
      <c r="H2881" s="52" t="s">
        <v>6684</v>
      </c>
      <c r="I2881" s="52"/>
      <c r="J2881" s="1"/>
      <c r="K2881" s="1" t="s">
        <v>6685</v>
      </c>
      <c r="L2881" s="1"/>
      <c r="M2881" s="1"/>
      <c r="N2881" s="1"/>
      <c r="O2881" s="1"/>
      <c r="P2881" s="6"/>
      <c r="Q2881" s="1"/>
      <c r="R2881" s="1"/>
      <c r="S2881" s="1"/>
      <c r="T2881" s="1"/>
      <c r="U2881" s="1"/>
      <c r="V2881" s="1"/>
      <c r="W2881" s="1"/>
      <c r="X2881" s="1"/>
      <c r="Y2881" s="1"/>
      <c r="Z2881" s="1"/>
    </row>
    <row r="2882" customFormat="false" ht="21.75" hidden="false" customHeight="true" outlineLevel="0" collapsed="false">
      <c r="A2882" s="4" t="n">
        <v>43502</v>
      </c>
      <c r="B2882" s="53" t="s">
        <v>86</v>
      </c>
      <c r="C2882" s="46" t="s">
        <v>15</v>
      </c>
      <c r="D2882" s="52" t="s">
        <v>16</v>
      </c>
      <c r="E2882" s="52" t="s">
        <v>17</v>
      </c>
      <c r="F2882" s="50" t="s">
        <v>6686</v>
      </c>
      <c r="G2882" s="51" t="n">
        <v>980046721</v>
      </c>
      <c r="H2882" s="52" t="s">
        <v>6687</v>
      </c>
      <c r="I2882" s="52"/>
      <c r="J2882" s="1"/>
      <c r="K2882" s="1" t="s">
        <v>6688</v>
      </c>
      <c r="L2882" s="1"/>
      <c r="M2882" s="1"/>
      <c r="N2882" s="1"/>
      <c r="O2882" s="1"/>
      <c r="P2882" s="6"/>
      <c r="Q2882" s="1"/>
      <c r="R2882" s="1"/>
      <c r="S2882" s="1"/>
      <c r="T2882" s="1"/>
      <c r="U2882" s="1"/>
      <c r="V2882" s="1"/>
      <c r="W2882" s="1"/>
      <c r="X2882" s="1"/>
      <c r="Y2882" s="1"/>
      <c r="Z2882" s="1"/>
    </row>
    <row r="2883" customFormat="false" ht="21.75" hidden="false" customHeight="true" outlineLevel="0" collapsed="false">
      <c r="A2883" s="4" t="n">
        <v>43502</v>
      </c>
      <c r="B2883" s="53" t="s">
        <v>48</v>
      </c>
      <c r="C2883" s="46" t="s">
        <v>15</v>
      </c>
      <c r="D2883" s="52" t="s">
        <v>43</v>
      </c>
      <c r="E2883" s="52" t="s">
        <v>44</v>
      </c>
      <c r="F2883" s="50" t="s">
        <v>6689</v>
      </c>
      <c r="G2883" s="51" t="n">
        <v>996838180</v>
      </c>
      <c r="H2883" s="52" t="s">
        <v>6690</v>
      </c>
      <c r="I2883" s="52"/>
      <c r="J2883" s="1"/>
      <c r="K2883" s="1" t="s">
        <v>6691</v>
      </c>
      <c r="L2883" s="1"/>
      <c r="M2883" s="1"/>
      <c r="N2883" s="1"/>
      <c r="O2883" s="1"/>
      <c r="P2883" s="6"/>
      <c r="Q2883" s="1"/>
      <c r="R2883" s="1"/>
      <c r="S2883" s="1"/>
      <c r="T2883" s="1"/>
      <c r="U2883" s="1"/>
      <c r="V2883" s="1"/>
      <c r="W2883" s="1"/>
      <c r="X2883" s="1"/>
      <c r="Y2883" s="1"/>
      <c r="Z2883" s="1"/>
    </row>
    <row r="2884" customFormat="false" ht="21.75" hidden="false" customHeight="true" outlineLevel="0" collapsed="false">
      <c r="A2884" s="4" t="n">
        <v>43502</v>
      </c>
      <c r="B2884" s="53" t="s">
        <v>48</v>
      </c>
      <c r="C2884" s="46" t="s">
        <v>15</v>
      </c>
      <c r="D2884" s="52" t="s">
        <v>43</v>
      </c>
      <c r="E2884" s="52" t="s">
        <v>109</v>
      </c>
      <c r="F2884" s="50" t="s">
        <v>6692</v>
      </c>
      <c r="G2884" s="52" t="s">
        <v>6693</v>
      </c>
      <c r="H2884" s="52" t="s">
        <v>6694</v>
      </c>
      <c r="I2884" s="52"/>
      <c r="J2884" s="1"/>
      <c r="K2884" s="1" t="s">
        <v>6695</v>
      </c>
      <c r="L2884" s="1"/>
      <c r="M2884" s="1"/>
      <c r="N2884" s="1"/>
      <c r="O2884" s="1"/>
      <c r="P2884" s="6"/>
      <c r="Q2884" s="1"/>
      <c r="R2884" s="1"/>
      <c r="S2884" s="1"/>
      <c r="T2884" s="1"/>
      <c r="U2884" s="1"/>
      <c r="V2884" s="1"/>
      <c r="W2884" s="1"/>
      <c r="X2884" s="1"/>
      <c r="Y2884" s="1"/>
      <c r="Z2884" s="1"/>
    </row>
    <row r="2885" customFormat="false" ht="21.75" hidden="false" customHeight="true" outlineLevel="0" collapsed="false">
      <c r="A2885" s="4" t="n">
        <v>43502</v>
      </c>
      <c r="B2885" s="53" t="s">
        <v>352</v>
      </c>
      <c r="C2885" s="46" t="s">
        <v>15</v>
      </c>
      <c r="D2885" s="52" t="s">
        <v>43</v>
      </c>
      <c r="E2885" s="52" t="s">
        <v>109</v>
      </c>
      <c r="F2885" s="50" t="s">
        <v>6696</v>
      </c>
      <c r="G2885" s="51" t="n">
        <v>990032894</v>
      </c>
      <c r="H2885" s="52" t="s">
        <v>6697</v>
      </c>
      <c r="I2885" s="52"/>
      <c r="J2885" s="1"/>
      <c r="K2885" s="1" t="s">
        <v>1156</v>
      </c>
      <c r="L2885" s="1" t="s">
        <v>3289</v>
      </c>
      <c r="M2885" s="1"/>
      <c r="N2885" s="1"/>
      <c r="O2885" s="1"/>
      <c r="P2885" s="6"/>
      <c r="Q2885" s="1"/>
      <c r="R2885" s="1"/>
      <c r="S2885" s="1"/>
      <c r="T2885" s="1"/>
      <c r="U2885" s="1"/>
      <c r="V2885" s="1"/>
      <c r="W2885" s="1"/>
      <c r="X2885" s="1"/>
      <c r="Y2885" s="1"/>
      <c r="Z2885" s="1"/>
    </row>
    <row r="2886" customFormat="false" ht="21.75" hidden="false" customHeight="true" outlineLevel="0" collapsed="false">
      <c r="A2886" s="4" t="n">
        <v>43502</v>
      </c>
      <c r="B2886" s="53" t="s">
        <v>48</v>
      </c>
      <c r="C2886" s="46" t="s">
        <v>15</v>
      </c>
      <c r="D2886" s="52" t="s">
        <v>43</v>
      </c>
      <c r="E2886" s="52" t="s">
        <v>44</v>
      </c>
      <c r="F2886" s="50" t="s">
        <v>6698</v>
      </c>
      <c r="G2886" s="51" t="n">
        <v>984355073</v>
      </c>
      <c r="H2886" s="52" t="s">
        <v>6699</v>
      </c>
      <c r="I2886" s="52"/>
      <c r="J2886" s="1"/>
      <c r="K2886" s="1" t="s">
        <v>21</v>
      </c>
      <c r="L2886" s="1" t="s">
        <v>1156</v>
      </c>
      <c r="M2886" s="1"/>
      <c r="N2886" s="1"/>
      <c r="O2886" s="1"/>
      <c r="P2886" s="6"/>
      <c r="Q2886" s="1"/>
      <c r="R2886" s="1"/>
      <c r="S2886" s="1"/>
      <c r="T2886" s="1"/>
      <c r="U2886" s="1"/>
      <c r="V2886" s="1"/>
      <c r="W2886" s="1"/>
      <c r="X2886" s="1"/>
      <c r="Y2886" s="1"/>
      <c r="Z2886" s="1"/>
    </row>
    <row r="2887" customFormat="false" ht="21.75" hidden="false" customHeight="true" outlineLevel="0" collapsed="false">
      <c r="A2887" s="4" t="n">
        <v>43502</v>
      </c>
      <c r="B2887" s="74" t="s">
        <v>127</v>
      </c>
      <c r="C2887" s="75" t="s">
        <v>15</v>
      </c>
      <c r="D2887" s="75" t="s">
        <v>43</v>
      </c>
      <c r="E2887" s="76" t="s">
        <v>109</v>
      </c>
      <c r="F2887" s="77" t="s">
        <v>5490</v>
      </c>
      <c r="G2887" s="78" t="n">
        <v>992783331</v>
      </c>
      <c r="H2887" s="74" t="s">
        <v>5491</v>
      </c>
      <c r="I2887" s="46" t="s">
        <v>6700</v>
      </c>
      <c r="J2887" s="1"/>
      <c r="K2887" s="1" t="s">
        <v>21</v>
      </c>
      <c r="L2887" s="1" t="s">
        <v>6701</v>
      </c>
      <c r="M2887" s="1" t="s">
        <v>1156</v>
      </c>
      <c r="N2887" s="1"/>
      <c r="O2887" s="1"/>
      <c r="P2887" s="6"/>
      <c r="Q2887" s="1"/>
      <c r="R2887" s="1"/>
      <c r="S2887" s="1"/>
      <c r="T2887" s="1"/>
      <c r="U2887" s="1"/>
      <c r="V2887" s="1"/>
      <c r="W2887" s="1"/>
      <c r="X2887" s="1"/>
      <c r="Y2887" s="1"/>
      <c r="Z2887" s="1"/>
    </row>
    <row r="2888" customFormat="false" ht="21.75" hidden="false" customHeight="true" outlineLevel="0" collapsed="false">
      <c r="A2888" s="4" t="n">
        <v>43502</v>
      </c>
      <c r="B2888" s="61" t="s">
        <v>42</v>
      </c>
      <c r="C2888" s="46" t="s">
        <v>15</v>
      </c>
      <c r="D2888" s="46" t="s">
        <v>43</v>
      </c>
      <c r="E2888" s="46" t="s">
        <v>109</v>
      </c>
      <c r="F2888" s="50" t="s">
        <v>6160</v>
      </c>
      <c r="G2888" s="51" t="n">
        <v>9099737171</v>
      </c>
      <c r="H2888" s="52" t="s">
        <v>6161</v>
      </c>
      <c r="I2888" s="52"/>
      <c r="J2888" s="1"/>
      <c r="K2888" s="1" t="s">
        <v>21</v>
      </c>
      <c r="L2888" s="1"/>
      <c r="M2888" s="1"/>
      <c r="N2888" s="1"/>
      <c r="O2888" s="1"/>
      <c r="P2888" s="6"/>
      <c r="Q2888" s="1"/>
      <c r="R2888" s="1"/>
      <c r="S2888" s="1"/>
      <c r="T2888" s="1"/>
      <c r="U2888" s="1"/>
      <c r="V2888" s="1"/>
      <c r="W2888" s="1"/>
      <c r="X2888" s="1"/>
      <c r="Y2888" s="1"/>
      <c r="Z2888" s="1"/>
    </row>
    <row r="2889" customFormat="false" ht="21.75" hidden="false" customHeight="true" outlineLevel="0" collapsed="false">
      <c r="A2889" s="4" t="n">
        <v>43502</v>
      </c>
      <c r="B2889" s="61" t="s">
        <v>48</v>
      </c>
      <c r="C2889" s="46" t="s">
        <v>15</v>
      </c>
      <c r="D2889" s="46" t="s">
        <v>43</v>
      </c>
      <c r="E2889" s="46" t="s">
        <v>883</v>
      </c>
      <c r="F2889" s="53" t="s">
        <v>6702</v>
      </c>
      <c r="G2889" s="44" t="n">
        <v>593939020459</v>
      </c>
      <c r="H2889" s="53" t="s">
        <v>6703</v>
      </c>
      <c r="I2889" s="53"/>
      <c r="J2889" s="1"/>
      <c r="K2889" s="1" t="s">
        <v>21</v>
      </c>
      <c r="L2889" s="1"/>
      <c r="M2889" s="1"/>
      <c r="N2889" s="1"/>
      <c r="O2889" s="1"/>
      <c r="P2889" s="6"/>
      <c r="Q2889" s="1"/>
      <c r="R2889" s="1"/>
      <c r="S2889" s="1"/>
      <c r="T2889" s="1"/>
      <c r="U2889" s="1"/>
      <c r="V2889" s="1"/>
      <c r="W2889" s="1"/>
      <c r="X2889" s="1"/>
      <c r="Y2889" s="1"/>
      <c r="Z2889" s="1"/>
    </row>
    <row r="2890" customFormat="false" ht="21.75" hidden="false" customHeight="true" outlineLevel="0" collapsed="false">
      <c r="A2890" s="4" t="n">
        <v>43503</v>
      </c>
      <c r="B2890" s="46" t="s">
        <v>1114</v>
      </c>
      <c r="C2890" s="46" t="s">
        <v>15</v>
      </c>
      <c r="D2890" s="52" t="s">
        <v>43</v>
      </c>
      <c r="E2890" s="52" t="s">
        <v>883</v>
      </c>
      <c r="F2890" s="46" t="s">
        <v>6704</v>
      </c>
      <c r="G2890" s="46" t="n">
        <f aca="false">+5930987187586</f>
        <v>5930987187586</v>
      </c>
      <c r="H2890" s="46" t="s">
        <v>6705</v>
      </c>
      <c r="I2890" s="46"/>
      <c r="J2890" s="1"/>
      <c r="K2890" s="1" t="s">
        <v>1156</v>
      </c>
      <c r="L2890" s="1" t="s">
        <v>6478</v>
      </c>
      <c r="M2890" s="1"/>
      <c r="N2890" s="1"/>
      <c r="O2890" s="1"/>
      <c r="P2890" s="6"/>
      <c r="Q2890" s="1"/>
      <c r="R2890" s="1"/>
      <c r="S2890" s="1"/>
      <c r="T2890" s="1"/>
      <c r="U2890" s="1"/>
      <c r="V2890" s="1"/>
      <c r="W2890" s="1"/>
      <c r="X2890" s="1"/>
      <c r="Y2890" s="1"/>
      <c r="Z2890" s="1"/>
    </row>
    <row r="2891" customFormat="false" ht="21.75" hidden="false" customHeight="true" outlineLevel="0" collapsed="false">
      <c r="A2891" s="4" t="n">
        <v>43503</v>
      </c>
      <c r="B2891" s="46" t="s">
        <v>352</v>
      </c>
      <c r="C2891" s="46" t="s">
        <v>15</v>
      </c>
      <c r="D2891" s="52" t="s">
        <v>43</v>
      </c>
      <c r="E2891" s="52" t="s">
        <v>883</v>
      </c>
      <c r="F2891" s="46" t="s">
        <v>6706</v>
      </c>
      <c r="G2891" s="46" t="n">
        <f aca="false">+593997187486</f>
        <v>593997187486</v>
      </c>
      <c r="H2891" s="46" t="s">
        <v>6707</v>
      </c>
      <c r="I2891" s="46"/>
      <c r="J2891" s="1"/>
      <c r="K2891" s="1" t="s">
        <v>1156</v>
      </c>
      <c r="L2891" s="1" t="s">
        <v>6478</v>
      </c>
      <c r="M2891" s="1"/>
      <c r="N2891" s="1"/>
      <c r="O2891" s="1"/>
      <c r="P2891" s="6"/>
      <c r="Q2891" s="1"/>
      <c r="R2891" s="1"/>
      <c r="S2891" s="1"/>
      <c r="T2891" s="1"/>
      <c r="U2891" s="1"/>
      <c r="V2891" s="1"/>
      <c r="W2891" s="1"/>
      <c r="X2891" s="1"/>
      <c r="Y2891" s="1"/>
      <c r="Z2891" s="1"/>
    </row>
    <row r="2892" customFormat="false" ht="21.75" hidden="false" customHeight="true" outlineLevel="0" collapsed="false">
      <c r="A2892" s="4" t="n">
        <v>43503</v>
      </c>
      <c r="B2892" s="46" t="s">
        <v>48</v>
      </c>
      <c r="C2892" s="46" t="s">
        <v>15</v>
      </c>
      <c r="D2892" s="52" t="s">
        <v>43</v>
      </c>
      <c r="E2892" s="52" t="s">
        <v>883</v>
      </c>
      <c r="F2892" s="46" t="s">
        <v>6702</v>
      </c>
      <c r="G2892" s="46" t="n">
        <f aca="false">+593939020459</f>
        <v>593939020459</v>
      </c>
      <c r="H2892" s="46" t="s">
        <v>6703</v>
      </c>
      <c r="I2892" s="46"/>
      <c r="J2892" s="1"/>
      <c r="K2892" s="1" t="s">
        <v>5481</v>
      </c>
      <c r="L2892" s="1" t="s">
        <v>1156</v>
      </c>
      <c r="M2892" s="1"/>
      <c r="N2892" s="1"/>
      <c r="O2892" s="1"/>
      <c r="P2892" s="6"/>
      <c r="Q2892" s="1"/>
      <c r="R2892" s="1"/>
      <c r="S2892" s="1"/>
      <c r="T2892" s="1"/>
      <c r="U2892" s="1"/>
      <c r="V2892" s="1"/>
      <c r="W2892" s="1"/>
      <c r="X2892" s="1"/>
      <c r="Y2892" s="1"/>
      <c r="Z2892" s="1"/>
    </row>
    <row r="2893" customFormat="false" ht="21.75" hidden="false" customHeight="true" outlineLevel="0" collapsed="false">
      <c r="A2893" s="4" t="n">
        <v>43503</v>
      </c>
      <c r="B2893" s="46" t="s">
        <v>127</v>
      </c>
      <c r="C2893" s="46" t="s">
        <v>15</v>
      </c>
      <c r="D2893" s="52" t="s">
        <v>43</v>
      </c>
      <c r="E2893" s="52" t="s">
        <v>883</v>
      </c>
      <c r="F2893" s="46" t="s">
        <v>6708</v>
      </c>
      <c r="G2893" s="46" t="n">
        <f aca="false">+5930993703516</f>
        <v>5930993703516</v>
      </c>
      <c r="H2893" s="46" t="s">
        <v>6709</v>
      </c>
      <c r="I2893" s="46"/>
      <c r="J2893" s="1"/>
      <c r="K2893" s="1" t="s">
        <v>6710</v>
      </c>
      <c r="L2893" s="1"/>
      <c r="M2893" s="1"/>
      <c r="N2893" s="1"/>
      <c r="O2893" s="1"/>
      <c r="P2893" s="6"/>
      <c r="Q2893" s="1"/>
      <c r="R2893" s="1"/>
      <c r="S2893" s="1"/>
      <c r="T2893" s="1"/>
      <c r="U2893" s="1"/>
      <c r="V2893" s="1"/>
      <c r="W2893" s="1"/>
      <c r="X2893" s="1"/>
      <c r="Y2893" s="1"/>
      <c r="Z2893" s="1"/>
    </row>
    <row r="2894" customFormat="false" ht="21.75" hidden="false" customHeight="true" outlineLevel="0" collapsed="false">
      <c r="A2894" s="4" t="n">
        <v>43503</v>
      </c>
      <c r="B2894" s="46" t="s">
        <v>352</v>
      </c>
      <c r="C2894" s="46" t="s">
        <v>15</v>
      </c>
      <c r="D2894" s="52" t="s">
        <v>43</v>
      </c>
      <c r="E2894" s="52" t="s">
        <v>883</v>
      </c>
      <c r="F2894" s="46" t="s">
        <v>6711</v>
      </c>
      <c r="G2894" s="46" t="n">
        <f aca="false">+593989714333</f>
        <v>593989714333</v>
      </c>
      <c r="H2894" s="46" t="s">
        <v>6712</v>
      </c>
      <c r="I2894" s="46"/>
      <c r="J2894" s="1"/>
      <c r="K2894" s="1" t="s">
        <v>6713</v>
      </c>
      <c r="L2894" s="1"/>
      <c r="M2894" s="1"/>
      <c r="N2894" s="1"/>
      <c r="O2894" s="1"/>
      <c r="P2894" s="6"/>
      <c r="Q2894" s="1"/>
      <c r="R2894" s="1"/>
      <c r="S2894" s="1"/>
      <c r="T2894" s="1"/>
      <c r="U2894" s="1"/>
      <c r="V2894" s="1"/>
      <c r="W2894" s="1"/>
      <c r="X2894" s="1"/>
      <c r="Y2894" s="1"/>
      <c r="Z2894" s="1"/>
    </row>
    <row r="2895" customFormat="false" ht="21.75" hidden="false" customHeight="true" outlineLevel="0" collapsed="false">
      <c r="A2895" s="4" t="n">
        <v>43503</v>
      </c>
      <c r="B2895" s="46" t="s">
        <v>48</v>
      </c>
      <c r="C2895" s="46" t="s">
        <v>15</v>
      </c>
      <c r="D2895" s="52" t="s">
        <v>43</v>
      </c>
      <c r="E2895" s="52" t="s">
        <v>883</v>
      </c>
      <c r="F2895" s="46" t="s">
        <v>6714</v>
      </c>
      <c r="G2895" s="46" t="n">
        <f aca="false">+593982608879</f>
        <v>593982608879</v>
      </c>
      <c r="H2895" s="46" t="s">
        <v>6715</v>
      </c>
      <c r="I2895" s="46"/>
      <c r="J2895" s="1"/>
      <c r="K2895" s="1" t="s">
        <v>1156</v>
      </c>
      <c r="L2895" s="1" t="s">
        <v>1156</v>
      </c>
      <c r="M2895" s="1"/>
      <c r="N2895" s="1"/>
      <c r="O2895" s="1"/>
      <c r="P2895" s="6"/>
      <c r="Q2895" s="1"/>
      <c r="R2895" s="1"/>
      <c r="S2895" s="1"/>
      <c r="T2895" s="1"/>
      <c r="U2895" s="1"/>
      <c r="V2895" s="1"/>
      <c r="W2895" s="1"/>
      <c r="X2895" s="1"/>
      <c r="Y2895" s="1"/>
      <c r="Z2895" s="1"/>
    </row>
    <row r="2896" customFormat="false" ht="21.75" hidden="false" customHeight="true" outlineLevel="0" collapsed="false">
      <c r="A2896" s="4" t="n">
        <v>43503</v>
      </c>
      <c r="B2896" s="46" t="s">
        <v>48</v>
      </c>
      <c r="C2896" s="46" t="s">
        <v>15</v>
      </c>
      <c r="D2896" s="52" t="s">
        <v>43</v>
      </c>
      <c r="E2896" s="52" t="s">
        <v>883</v>
      </c>
      <c r="F2896" s="46" t="s">
        <v>6716</v>
      </c>
      <c r="G2896" s="46" t="n">
        <f aca="false">+593994285011</f>
        <v>593994285011</v>
      </c>
      <c r="H2896" s="46" t="s">
        <v>6717</v>
      </c>
      <c r="I2896" s="46"/>
      <c r="J2896" s="1"/>
      <c r="K2896" s="1" t="s">
        <v>1156</v>
      </c>
      <c r="L2896" s="1" t="s">
        <v>6718</v>
      </c>
      <c r="M2896" s="1"/>
      <c r="N2896" s="1"/>
      <c r="O2896" s="1"/>
      <c r="P2896" s="6"/>
      <c r="Q2896" s="1"/>
      <c r="R2896" s="1"/>
      <c r="S2896" s="1"/>
      <c r="T2896" s="1"/>
      <c r="U2896" s="1"/>
      <c r="V2896" s="1"/>
      <c r="W2896" s="1"/>
      <c r="X2896" s="1"/>
      <c r="Y2896" s="1"/>
      <c r="Z2896" s="1"/>
    </row>
    <row r="2897" customFormat="false" ht="21.75" hidden="false" customHeight="true" outlineLevel="0" collapsed="false">
      <c r="A2897" s="4" t="n">
        <v>43503</v>
      </c>
      <c r="B2897" s="46" t="s">
        <v>127</v>
      </c>
      <c r="C2897" s="46" t="s">
        <v>15</v>
      </c>
      <c r="D2897" s="52" t="s">
        <v>43</v>
      </c>
      <c r="E2897" s="52" t="s">
        <v>883</v>
      </c>
      <c r="F2897" s="46" t="s">
        <v>6719</v>
      </c>
      <c r="G2897" s="46" t="n">
        <f aca="false">+593989163614</f>
        <v>593989163614</v>
      </c>
      <c r="H2897" s="46" t="s">
        <v>6720</v>
      </c>
      <c r="I2897" s="46"/>
      <c r="J2897" s="1"/>
      <c r="K2897" s="1" t="s">
        <v>6721</v>
      </c>
      <c r="L2897" s="1"/>
      <c r="M2897" s="1"/>
      <c r="N2897" s="1"/>
      <c r="O2897" s="1"/>
      <c r="P2897" s="6"/>
      <c r="Q2897" s="1"/>
      <c r="R2897" s="1"/>
      <c r="S2897" s="1"/>
      <c r="T2897" s="1"/>
      <c r="U2897" s="1"/>
      <c r="V2897" s="1"/>
      <c r="W2897" s="1"/>
      <c r="X2897" s="1"/>
      <c r="Y2897" s="1"/>
      <c r="Z2897" s="1"/>
    </row>
    <row r="2898" customFormat="false" ht="21.75" hidden="false" customHeight="true" outlineLevel="0" collapsed="false">
      <c r="A2898" s="4" t="n">
        <v>43503</v>
      </c>
      <c r="B2898" s="46" t="s">
        <v>48</v>
      </c>
      <c r="C2898" s="46" t="s">
        <v>15</v>
      </c>
      <c r="D2898" s="52" t="s">
        <v>43</v>
      </c>
      <c r="E2898" s="52" t="s">
        <v>883</v>
      </c>
      <c r="F2898" s="46" t="s">
        <v>6722</v>
      </c>
      <c r="G2898" s="46" t="n">
        <f aca="false">+593991634027</f>
        <v>593991634027</v>
      </c>
      <c r="H2898" s="46" t="s">
        <v>6723</v>
      </c>
      <c r="I2898" s="46"/>
      <c r="J2898" s="1"/>
      <c r="K2898" s="1" t="s">
        <v>1156</v>
      </c>
      <c r="L2898" s="1" t="s">
        <v>1149</v>
      </c>
      <c r="M2898" s="1"/>
      <c r="N2898" s="1"/>
      <c r="O2898" s="1"/>
      <c r="P2898" s="6"/>
      <c r="Q2898" s="1"/>
      <c r="R2898" s="1"/>
      <c r="S2898" s="1"/>
      <c r="T2898" s="1"/>
      <c r="U2898" s="1"/>
      <c r="V2898" s="1"/>
      <c r="W2898" s="1"/>
      <c r="X2898" s="1"/>
      <c r="Y2898" s="1"/>
      <c r="Z2898" s="1"/>
    </row>
    <row r="2899" customFormat="false" ht="21.75" hidden="false" customHeight="true" outlineLevel="0" collapsed="false">
      <c r="A2899" s="4" t="n">
        <v>43503</v>
      </c>
      <c r="B2899" s="46" t="s">
        <v>352</v>
      </c>
      <c r="C2899" s="46" t="s">
        <v>15</v>
      </c>
      <c r="D2899" s="52" t="s">
        <v>43</v>
      </c>
      <c r="E2899" s="52" t="s">
        <v>883</v>
      </c>
      <c r="F2899" s="46" t="s">
        <v>6724</v>
      </c>
      <c r="G2899" s="46" t="n">
        <f aca="false">+593995292764</f>
        <v>593995292764</v>
      </c>
      <c r="H2899" s="46" t="s">
        <v>6725</v>
      </c>
      <c r="I2899" s="46"/>
      <c r="J2899" s="1"/>
      <c r="K2899" s="1" t="s">
        <v>6478</v>
      </c>
      <c r="L2899" s="1"/>
      <c r="M2899" s="1"/>
      <c r="N2899" s="1"/>
      <c r="O2899" s="1"/>
      <c r="P2899" s="6"/>
      <c r="Q2899" s="1"/>
      <c r="R2899" s="1"/>
      <c r="S2899" s="1"/>
      <c r="T2899" s="1"/>
      <c r="U2899" s="1"/>
      <c r="V2899" s="1"/>
      <c r="W2899" s="1"/>
      <c r="X2899" s="1"/>
      <c r="Y2899" s="1"/>
      <c r="Z2899" s="1"/>
    </row>
    <row r="2900" customFormat="false" ht="21.75" hidden="false" customHeight="true" outlineLevel="0" collapsed="false">
      <c r="A2900" s="4" t="n">
        <v>43503</v>
      </c>
      <c r="B2900" s="46" t="s">
        <v>1114</v>
      </c>
      <c r="C2900" s="46" t="s">
        <v>26</v>
      </c>
      <c r="D2900" s="52" t="s">
        <v>43</v>
      </c>
      <c r="E2900" s="52" t="s">
        <v>109</v>
      </c>
      <c r="F2900" s="46" t="s">
        <v>6726</v>
      </c>
      <c r="G2900" s="46" t="n">
        <f aca="false">+593999910049</f>
        <v>593999910049</v>
      </c>
      <c r="H2900" s="46" t="s">
        <v>6727</v>
      </c>
      <c r="I2900" s="46"/>
      <c r="J2900" s="1"/>
      <c r="K2900" s="1" t="s">
        <v>1156</v>
      </c>
      <c r="L2900" s="1" t="s">
        <v>1156</v>
      </c>
      <c r="M2900" s="1"/>
      <c r="N2900" s="1"/>
      <c r="O2900" s="1"/>
      <c r="P2900" s="6"/>
      <c r="Q2900" s="1"/>
      <c r="R2900" s="1"/>
      <c r="S2900" s="1"/>
      <c r="T2900" s="1"/>
      <c r="U2900" s="1"/>
      <c r="V2900" s="1"/>
      <c r="W2900" s="1"/>
      <c r="X2900" s="1"/>
      <c r="Y2900" s="1"/>
      <c r="Z2900" s="1"/>
    </row>
    <row r="2901" customFormat="false" ht="21.75" hidden="false" customHeight="true" outlineLevel="0" collapsed="false">
      <c r="A2901" s="4" t="n">
        <v>43503</v>
      </c>
      <c r="B2901" s="46" t="s">
        <v>48</v>
      </c>
      <c r="C2901" s="46" t="s">
        <v>15</v>
      </c>
      <c r="D2901" s="52" t="s">
        <v>43</v>
      </c>
      <c r="E2901" s="52" t="s">
        <v>109</v>
      </c>
      <c r="F2901" s="46" t="s">
        <v>6728</v>
      </c>
      <c r="G2901" s="46" t="n">
        <f aca="false">+5930969637737</f>
        <v>5930969637737</v>
      </c>
      <c r="H2901" s="46" t="s">
        <v>6729</v>
      </c>
      <c r="I2901" s="46"/>
      <c r="J2901" s="1"/>
      <c r="K2901" s="1" t="s">
        <v>1156</v>
      </c>
      <c r="L2901" s="1" t="s">
        <v>6730</v>
      </c>
      <c r="M2901" s="1"/>
      <c r="N2901" s="1"/>
      <c r="O2901" s="1"/>
      <c r="P2901" s="6"/>
      <c r="Q2901" s="1"/>
      <c r="R2901" s="1"/>
      <c r="S2901" s="1"/>
      <c r="T2901" s="1"/>
      <c r="U2901" s="1"/>
      <c r="V2901" s="1"/>
      <c r="W2901" s="1"/>
      <c r="X2901" s="1"/>
      <c r="Y2901" s="1"/>
      <c r="Z2901" s="1"/>
    </row>
    <row r="2902" customFormat="false" ht="21.75" hidden="false" customHeight="true" outlineLevel="0" collapsed="false">
      <c r="A2902" s="4" t="n">
        <v>43503</v>
      </c>
      <c r="B2902" s="46" t="s">
        <v>178</v>
      </c>
      <c r="C2902" s="46" t="s">
        <v>15</v>
      </c>
      <c r="D2902" s="52" t="s">
        <v>43</v>
      </c>
      <c r="E2902" s="52" t="s">
        <v>109</v>
      </c>
      <c r="F2902" s="46" t="s">
        <v>6731</v>
      </c>
      <c r="G2902" s="46" t="n">
        <f aca="false">+593999771362</f>
        <v>593999771362</v>
      </c>
      <c r="H2902" s="46" t="s">
        <v>6732</v>
      </c>
      <c r="I2902" s="46"/>
      <c r="J2902" s="1"/>
      <c r="K2902" s="11" t="s">
        <v>6733</v>
      </c>
      <c r="L2902" s="1" t="s">
        <v>6734</v>
      </c>
      <c r="M2902" s="1"/>
      <c r="N2902" s="1"/>
      <c r="O2902" s="1"/>
      <c r="P2902" s="6"/>
      <c r="Q2902" s="1"/>
      <c r="R2902" s="1"/>
      <c r="S2902" s="1"/>
      <c r="T2902" s="1"/>
      <c r="U2902" s="1"/>
      <c r="V2902" s="1"/>
      <c r="W2902" s="1"/>
      <c r="X2902" s="1"/>
      <c r="Y2902" s="1"/>
      <c r="Z2902" s="1"/>
    </row>
    <row r="2903" customFormat="false" ht="21.75" hidden="false" customHeight="true" outlineLevel="0" collapsed="false">
      <c r="A2903" s="4" t="n">
        <v>43503</v>
      </c>
      <c r="B2903" s="46" t="s">
        <v>48</v>
      </c>
      <c r="C2903" s="46" t="s">
        <v>15</v>
      </c>
      <c r="D2903" s="52" t="s">
        <v>43</v>
      </c>
      <c r="E2903" s="52" t="s">
        <v>109</v>
      </c>
      <c r="F2903" s="46" t="s">
        <v>6735</v>
      </c>
      <c r="G2903" s="46" t="n">
        <f aca="false">+593994686745</f>
        <v>593994686745</v>
      </c>
      <c r="H2903" s="46" t="s">
        <v>6736</v>
      </c>
      <c r="I2903" s="46"/>
      <c r="J2903" s="1"/>
      <c r="K2903" s="1" t="s">
        <v>1156</v>
      </c>
      <c r="L2903" s="1" t="s">
        <v>6587</v>
      </c>
      <c r="M2903" s="1"/>
      <c r="N2903" s="1"/>
      <c r="O2903" s="1"/>
      <c r="P2903" s="6"/>
      <c r="Q2903" s="1"/>
      <c r="R2903" s="1"/>
      <c r="S2903" s="1"/>
      <c r="T2903" s="1"/>
      <c r="U2903" s="1"/>
      <c r="V2903" s="1"/>
      <c r="W2903" s="1"/>
      <c r="X2903" s="1"/>
      <c r="Y2903" s="1"/>
      <c r="Z2903" s="1"/>
    </row>
    <row r="2904" customFormat="false" ht="21.75" hidden="false" customHeight="true" outlineLevel="0" collapsed="false">
      <c r="A2904" s="4" t="n">
        <v>43503</v>
      </c>
      <c r="B2904" s="46" t="s">
        <v>352</v>
      </c>
      <c r="C2904" s="46" t="s">
        <v>26</v>
      </c>
      <c r="D2904" s="52" t="s">
        <v>43</v>
      </c>
      <c r="E2904" s="52" t="s">
        <v>109</v>
      </c>
      <c r="F2904" s="46" t="s">
        <v>6737</v>
      </c>
      <c r="G2904" s="46" t="n">
        <f aca="false">+593984444097</f>
        <v>593984444097</v>
      </c>
      <c r="H2904" s="46" t="s">
        <v>6738</v>
      </c>
      <c r="I2904" s="46"/>
      <c r="J2904" s="1"/>
      <c r="K2904" s="1" t="s">
        <v>6739</v>
      </c>
      <c r="L2904" s="1"/>
      <c r="M2904" s="1"/>
      <c r="N2904" s="1"/>
      <c r="O2904" s="1"/>
      <c r="P2904" s="6"/>
      <c r="Q2904" s="1"/>
      <c r="R2904" s="1"/>
      <c r="S2904" s="1"/>
      <c r="T2904" s="1"/>
      <c r="U2904" s="1"/>
      <c r="V2904" s="1"/>
      <c r="W2904" s="1"/>
      <c r="X2904" s="1"/>
      <c r="Y2904" s="1"/>
      <c r="Z2904" s="1"/>
    </row>
    <row r="2905" customFormat="false" ht="21.75" hidden="false" customHeight="true" outlineLevel="0" collapsed="false">
      <c r="A2905" s="4" t="n">
        <v>43503</v>
      </c>
      <c r="B2905" s="46" t="s">
        <v>127</v>
      </c>
      <c r="C2905" s="46" t="s">
        <v>15</v>
      </c>
      <c r="D2905" s="52" t="s">
        <v>43</v>
      </c>
      <c r="E2905" s="52" t="s">
        <v>109</v>
      </c>
      <c r="F2905" s="46" t="s">
        <v>6740</v>
      </c>
      <c r="G2905" s="46" t="n">
        <f aca="false">+5930997215039</f>
        <v>5930997215039</v>
      </c>
      <c r="H2905" s="46" t="s">
        <v>6741</v>
      </c>
      <c r="I2905" s="46"/>
      <c r="J2905" s="1"/>
      <c r="K2905" s="1" t="s">
        <v>6586</v>
      </c>
      <c r="L2905" s="1"/>
      <c r="M2905" s="1"/>
      <c r="N2905" s="1"/>
      <c r="O2905" s="1"/>
      <c r="P2905" s="6"/>
      <c r="Q2905" s="1"/>
      <c r="R2905" s="1"/>
      <c r="S2905" s="1"/>
      <c r="T2905" s="1"/>
      <c r="U2905" s="1"/>
      <c r="V2905" s="1"/>
      <c r="W2905" s="1"/>
      <c r="X2905" s="1"/>
      <c r="Y2905" s="1"/>
      <c r="Z2905" s="1"/>
    </row>
    <row r="2906" customFormat="false" ht="21.75" hidden="false" customHeight="true" outlineLevel="0" collapsed="false">
      <c r="A2906" s="4" t="n">
        <v>43503</v>
      </c>
      <c r="B2906" s="46" t="s">
        <v>532</v>
      </c>
      <c r="C2906" s="46" t="s">
        <v>15</v>
      </c>
      <c r="D2906" s="52" t="s">
        <v>43</v>
      </c>
      <c r="E2906" s="52" t="s">
        <v>109</v>
      </c>
      <c r="F2906" s="46" t="s">
        <v>6742</v>
      </c>
      <c r="G2906" s="46" t="n">
        <f aca="false">+593993146689</f>
        <v>593993146689</v>
      </c>
      <c r="H2906" s="46" t="s">
        <v>6743</v>
      </c>
      <c r="I2906" s="46"/>
      <c r="J2906" s="1"/>
      <c r="K2906" s="1" t="s">
        <v>6744</v>
      </c>
      <c r="L2906" s="1"/>
      <c r="M2906" s="1"/>
      <c r="N2906" s="1"/>
      <c r="O2906" s="1"/>
      <c r="P2906" s="6"/>
      <c r="Q2906" s="1"/>
      <c r="R2906" s="1"/>
      <c r="S2906" s="1"/>
      <c r="T2906" s="1"/>
      <c r="U2906" s="1"/>
      <c r="V2906" s="1"/>
      <c r="W2906" s="1"/>
      <c r="X2906" s="1"/>
      <c r="Y2906" s="1"/>
      <c r="Z2906" s="1"/>
    </row>
    <row r="2907" customFormat="false" ht="21.75" hidden="false" customHeight="true" outlineLevel="0" collapsed="false">
      <c r="A2907" s="4" t="n">
        <v>43503</v>
      </c>
      <c r="B2907" s="46" t="s">
        <v>48</v>
      </c>
      <c r="C2907" s="46" t="s">
        <v>15</v>
      </c>
      <c r="D2907" s="52" t="s">
        <v>43</v>
      </c>
      <c r="E2907" s="52" t="s">
        <v>109</v>
      </c>
      <c r="F2907" s="46" t="s">
        <v>6745</v>
      </c>
      <c r="G2907" s="46" t="n">
        <f aca="false">+593958970235</f>
        <v>593958970235</v>
      </c>
      <c r="H2907" s="46" t="s">
        <v>6746</v>
      </c>
      <c r="I2907" s="46"/>
      <c r="J2907" s="1"/>
      <c r="K2907" s="1" t="s">
        <v>1156</v>
      </c>
      <c r="L2907" s="1" t="s">
        <v>6747</v>
      </c>
      <c r="M2907" s="1"/>
      <c r="N2907" s="1"/>
      <c r="O2907" s="1"/>
      <c r="P2907" s="6"/>
      <c r="Q2907" s="1"/>
      <c r="R2907" s="1"/>
      <c r="S2907" s="1"/>
      <c r="T2907" s="1"/>
      <c r="U2907" s="1"/>
      <c r="V2907" s="1"/>
      <c r="W2907" s="1"/>
      <c r="X2907" s="1"/>
      <c r="Y2907" s="1"/>
      <c r="Z2907" s="1"/>
    </row>
    <row r="2908" customFormat="false" ht="21.75" hidden="false" customHeight="true" outlineLevel="0" collapsed="false">
      <c r="A2908" s="4" t="n">
        <v>43503</v>
      </c>
      <c r="B2908" s="46" t="s">
        <v>415</v>
      </c>
      <c r="C2908" s="46" t="s">
        <v>15</v>
      </c>
      <c r="D2908" s="52" t="s">
        <v>43</v>
      </c>
      <c r="E2908" s="52" t="s">
        <v>109</v>
      </c>
      <c r="F2908" s="46" t="s">
        <v>6748</v>
      </c>
      <c r="G2908" s="57" t="n">
        <v>968453797</v>
      </c>
      <c r="H2908" s="46" t="s">
        <v>6749</v>
      </c>
      <c r="I2908" s="46"/>
      <c r="J2908" s="1"/>
      <c r="K2908" s="1" t="s">
        <v>6478</v>
      </c>
      <c r="L2908" s="1"/>
      <c r="M2908" s="1"/>
      <c r="N2908" s="1"/>
      <c r="O2908" s="1"/>
      <c r="P2908" s="6"/>
      <c r="Q2908" s="1"/>
      <c r="R2908" s="1"/>
      <c r="S2908" s="1"/>
      <c r="T2908" s="1"/>
      <c r="U2908" s="1"/>
      <c r="V2908" s="1"/>
      <c r="W2908" s="1"/>
      <c r="X2908" s="1"/>
      <c r="Y2908" s="1"/>
      <c r="Z2908" s="1"/>
    </row>
    <row r="2909" customFormat="false" ht="21.75" hidden="false" customHeight="true" outlineLevel="0" collapsed="false">
      <c r="A2909" s="4" t="n">
        <v>43503</v>
      </c>
      <c r="B2909" s="46" t="s">
        <v>48</v>
      </c>
      <c r="C2909" s="46" t="s">
        <v>15</v>
      </c>
      <c r="D2909" s="52" t="s">
        <v>43</v>
      </c>
      <c r="E2909" s="52" t="s">
        <v>109</v>
      </c>
      <c r="F2909" s="46" t="s">
        <v>6750</v>
      </c>
      <c r="G2909" s="46" t="n">
        <f aca="false">+593968334087</f>
        <v>593968334087</v>
      </c>
      <c r="H2909" s="46" t="s">
        <v>6751</v>
      </c>
      <c r="I2909" s="46"/>
      <c r="J2909" s="1"/>
      <c r="K2909" s="1" t="s">
        <v>6730</v>
      </c>
      <c r="L2909" s="1"/>
      <c r="M2909" s="1"/>
      <c r="N2909" s="1"/>
      <c r="O2909" s="1"/>
      <c r="P2909" s="6"/>
      <c r="Q2909" s="1"/>
      <c r="R2909" s="1"/>
      <c r="S2909" s="1"/>
      <c r="T2909" s="1"/>
      <c r="U2909" s="1"/>
      <c r="V2909" s="1"/>
      <c r="W2909" s="1"/>
      <c r="X2909" s="1"/>
      <c r="Y2909" s="1"/>
      <c r="Z2909" s="1"/>
    </row>
    <row r="2910" customFormat="false" ht="21.75" hidden="false" customHeight="true" outlineLevel="0" collapsed="false">
      <c r="A2910" s="4" t="n">
        <v>43503</v>
      </c>
      <c r="B2910" s="46" t="s">
        <v>323</v>
      </c>
      <c r="C2910" s="46" t="s">
        <v>15</v>
      </c>
      <c r="D2910" s="52" t="s">
        <v>43</v>
      </c>
      <c r="E2910" s="52" t="s">
        <v>109</v>
      </c>
      <c r="F2910" s="46" t="s">
        <v>6752</v>
      </c>
      <c r="G2910" s="46" t="n">
        <f aca="false">+593959849082</f>
        <v>593959849082</v>
      </c>
      <c r="H2910" s="46" t="s">
        <v>6753</v>
      </c>
      <c r="I2910" s="46"/>
      <c r="J2910" s="1"/>
      <c r="K2910" s="1" t="s">
        <v>1156</v>
      </c>
      <c r="L2910" s="1" t="s">
        <v>1156</v>
      </c>
      <c r="M2910" s="1"/>
      <c r="N2910" s="1"/>
      <c r="O2910" s="1"/>
      <c r="P2910" s="6"/>
      <c r="Q2910" s="1"/>
      <c r="R2910" s="1"/>
      <c r="S2910" s="1"/>
      <c r="T2910" s="1"/>
      <c r="U2910" s="1"/>
      <c r="V2910" s="1"/>
      <c r="W2910" s="1"/>
      <c r="X2910" s="1"/>
      <c r="Y2910" s="1"/>
      <c r="Z2910" s="1"/>
    </row>
    <row r="2911" customFormat="false" ht="21.75" hidden="false" customHeight="true" outlineLevel="0" collapsed="false">
      <c r="A2911" s="4" t="n">
        <v>43503</v>
      </c>
      <c r="B2911" s="46" t="s">
        <v>323</v>
      </c>
      <c r="C2911" s="46" t="s">
        <v>15</v>
      </c>
      <c r="D2911" s="52" t="s">
        <v>43</v>
      </c>
      <c r="E2911" s="52" t="s">
        <v>109</v>
      </c>
      <c r="F2911" s="46" t="s">
        <v>6754</v>
      </c>
      <c r="G2911" s="46" t="n">
        <f aca="false">+593985251120</f>
        <v>593985251120</v>
      </c>
      <c r="H2911" s="46" t="s">
        <v>6755</v>
      </c>
      <c r="I2911" s="46"/>
      <c r="J2911" s="1"/>
      <c r="K2911" s="1" t="s">
        <v>6478</v>
      </c>
      <c r="L2911" s="1"/>
      <c r="M2911" s="1"/>
      <c r="N2911" s="1"/>
      <c r="O2911" s="1"/>
      <c r="P2911" s="6"/>
      <c r="Q2911" s="1"/>
      <c r="R2911" s="1"/>
      <c r="S2911" s="1"/>
      <c r="T2911" s="1"/>
      <c r="U2911" s="1"/>
      <c r="V2911" s="1"/>
      <c r="W2911" s="1"/>
      <c r="X2911" s="1"/>
      <c r="Y2911" s="1"/>
      <c r="Z2911" s="1"/>
    </row>
    <row r="2912" customFormat="false" ht="21.75" hidden="false" customHeight="true" outlineLevel="0" collapsed="false">
      <c r="A2912" s="4" t="n">
        <v>43503</v>
      </c>
      <c r="B2912" s="46" t="s">
        <v>81</v>
      </c>
      <c r="C2912" s="46" t="s">
        <v>15</v>
      </c>
      <c r="D2912" s="52" t="s">
        <v>43</v>
      </c>
      <c r="E2912" s="52" t="s">
        <v>109</v>
      </c>
      <c r="F2912" s="46" t="s">
        <v>6756</v>
      </c>
      <c r="G2912" s="46" t="n">
        <f aca="false">+593960531841</f>
        <v>593960531841</v>
      </c>
      <c r="H2912" s="46" t="s">
        <v>6757</v>
      </c>
      <c r="I2912" s="46"/>
      <c r="J2912" s="1"/>
      <c r="K2912" s="1" t="s">
        <v>1156</v>
      </c>
      <c r="L2912" s="1" t="s">
        <v>1156</v>
      </c>
      <c r="M2912" s="1"/>
      <c r="N2912" s="1"/>
      <c r="O2912" s="1"/>
      <c r="P2912" s="6"/>
      <c r="Q2912" s="1"/>
      <c r="R2912" s="1"/>
      <c r="S2912" s="1"/>
      <c r="T2912" s="1"/>
      <c r="U2912" s="1"/>
      <c r="V2912" s="1"/>
      <c r="W2912" s="1"/>
      <c r="X2912" s="1"/>
      <c r="Y2912" s="1"/>
      <c r="Z2912" s="1"/>
    </row>
    <row r="2913" customFormat="false" ht="21.75" hidden="false" customHeight="true" outlineLevel="0" collapsed="false">
      <c r="A2913" s="4" t="n">
        <v>43503</v>
      </c>
      <c r="B2913" s="46" t="s">
        <v>1114</v>
      </c>
      <c r="C2913" s="46" t="s">
        <v>15</v>
      </c>
      <c r="D2913" s="52" t="s">
        <v>43</v>
      </c>
      <c r="E2913" s="52" t="s">
        <v>109</v>
      </c>
      <c r="F2913" s="46" t="s">
        <v>6758</v>
      </c>
      <c r="G2913" s="46" t="n">
        <f aca="false">+593993437659</f>
        <v>593993437659</v>
      </c>
      <c r="H2913" s="46" t="s">
        <v>6759</v>
      </c>
      <c r="I2913" s="46"/>
      <c r="J2913" s="1"/>
      <c r="K2913" s="1" t="s">
        <v>6478</v>
      </c>
      <c r="L2913" s="1"/>
      <c r="M2913" s="1"/>
      <c r="N2913" s="1"/>
      <c r="O2913" s="1"/>
      <c r="P2913" s="6"/>
      <c r="Q2913" s="1"/>
      <c r="R2913" s="1"/>
      <c r="S2913" s="1"/>
      <c r="T2913" s="1"/>
      <c r="U2913" s="1"/>
      <c r="V2913" s="1"/>
      <c r="W2913" s="1"/>
      <c r="X2913" s="1"/>
      <c r="Y2913" s="1"/>
      <c r="Z2913" s="1"/>
    </row>
    <row r="2914" customFormat="false" ht="21.75" hidden="false" customHeight="true" outlineLevel="0" collapsed="false">
      <c r="A2914" s="4" t="n">
        <v>43503</v>
      </c>
      <c r="B2914" s="46" t="s">
        <v>48</v>
      </c>
      <c r="C2914" s="46" t="s">
        <v>26</v>
      </c>
      <c r="D2914" s="52" t="s">
        <v>43</v>
      </c>
      <c r="E2914" s="52" t="s">
        <v>109</v>
      </c>
      <c r="F2914" s="46" t="s">
        <v>6760</v>
      </c>
      <c r="G2914" s="46" t="n">
        <f aca="false">+593988564111</f>
        <v>593988564111</v>
      </c>
      <c r="H2914" s="46" t="s">
        <v>6761</v>
      </c>
      <c r="I2914" s="46"/>
      <c r="J2914" s="1"/>
      <c r="K2914" s="1" t="s">
        <v>5344</v>
      </c>
      <c r="L2914" s="1"/>
      <c r="M2914" s="1"/>
      <c r="N2914" s="1"/>
      <c r="O2914" s="1"/>
      <c r="P2914" s="6"/>
      <c r="Q2914" s="1"/>
      <c r="R2914" s="1"/>
      <c r="S2914" s="1"/>
      <c r="T2914" s="1"/>
      <c r="U2914" s="1"/>
      <c r="V2914" s="1"/>
      <c r="W2914" s="1"/>
      <c r="X2914" s="1"/>
      <c r="Y2914" s="1"/>
      <c r="Z2914" s="1"/>
    </row>
    <row r="2915" customFormat="false" ht="21.75" hidden="false" customHeight="true" outlineLevel="0" collapsed="false">
      <c r="A2915" s="4" t="n">
        <v>43503</v>
      </c>
      <c r="B2915" s="46" t="s">
        <v>1114</v>
      </c>
      <c r="C2915" s="46" t="s">
        <v>15</v>
      </c>
      <c r="D2915" s="52" t="s">
        <v>43</v>
      </c>
      <c r="E2915" s="52" t="s">
        <v>109</v>
      </c>
      <c r="F2915" s="46" t="s">
        <v>6762</v>
      </c>
      <c r="G2915" s="46" t="n">
        <f aca="false">+593991804023</f>
        <v>593991804023</v>
      </c>
      <c r="H2915" s="46" t="s">
        <v>6763</v>
      </c>
      <c r="I2915" s="46"/>
      <c r="J2915" s="1"/>
      <c r="K2915" s="1" t="s">
        <v>1156</v>
      </c>
      <c r="L2915" s="1" t="s">
        <v>6764</v>
      </c>
      <c r="M2915" s="1"/>
      <c r="N2915" s="1"/>
      <c r="O2915" s="1"/>
      <c r="P2915" s="6"/>
      <c r="Q2915" s="1"/>
      <c r="R2915" s="1"/>
      <c r="S2915" s="1"/>
      <c r="T2915" s="1"/>
      <c r="U2915" s="1"/>
      <c r="V2915" s="1"/>
      <c r="W2915" s="1"/>
      <c r="X2915" s="1"/>
      <c r="Y2915" s="1"/>
      <c r="Z2915" s="1"/>
    </row>
    <row r="2916" customFormat="false" ht="21.75" hidden="false" customHeight="true" outlineLevel="0" collapsed="false">
      <c r="A2916" s="4" t="n">
        <v>43503</v>
      </c>
      <c r="B2916" s="46" t="s">
        <v>42</v>
      </c>
      <c r="C2916" s="46" t="s">
        <v>15</v>
      </c>
      <c r="D2916" s="52" t="s">
        <v>43</v>
      </c>
      <c r="E2916" s="52" t="s">
        <v>109</v>
      </c>
      <c r="F2916" s="46" t="s">
        <v>6765</v>
      </c>
      <c r="G2916" s="46" t="n">
        <f aca="false">+5930990093898</f>
        <v>5930990093898</v>
      </c>
      <c r="H2916" s="46" t="s">
        <v>6766</v>
      </c>
      <c r="I2916" s="46"/>
      <c r="J2916" s="1"/>
      <c r="K2916" s="1" t="s">
        <v>1156</v>
      </c>
      <c r="L2916" s="1" t="s">
        <v>6504</v>
      </c>
      <c r="M2916" s="1"/>
      <c r="N2916" s="1"/>
      <c r="O2916" s="1"/>
      <c r="P2916" s="6"/>
      <c r="Q2916" s="1"/>
      <c r="R2916" s="1"/>
      <c r="S2916" s="1"/>
      <c r="T2916" s="1"/>
      <c r="U2916" s="1"/>
      <c r="V2916" s="1"/>
      <c r="W2916" s="1"/>
      <c r="X2916" s="1"/>
      <c r="Y2916" s="1"/>
      <c r="Z2916" s="1"/>
    </row>
    <row r="2917" customFormat="false" ht="21.75" hidden="false" customHeight="true" outlineLevel="0" collapsed="false">
      <c r="A2917" s="4" t="n">
        <v>43503</v>
      </c>
      <c r="B2917" s="46" t="s">
        <v>48</v>
      </c>
      <c r="C2917" s="46" t="s">
        <v>15</v>
      </c>
      <c r="D2917" s="52" t="s">
        <v>43</v>
      </c>
      <c r="E2917" s="52" t="s">
        <v>109</v>
      </c>
      <c r="F2917" s="46" t="s">
        <v>6767</v>
      </c>
      <c r="G2917" s="46" t="n">
        <f aca="false">+593988337721</f>
        <v>593988337721</v>
      </c>
      <c r="H2917" s="46" t="s">
        <v>6768</v>
      </c>
      <c r="I2917" s="46"/>
      <c r="J2917" s="1"/>
      <c r="K2917" s="1" t="s">
        <v>1156</v>
      </c>
      <c r="L2917" s="1" t="s">
        <v>6769</v>
      </c>
      <c r="M2917" s="1"/>
      <c r="N2917" s="1"/>
      <c r="O2917" s="1"/>
      <c r="P2917" s="6"/>
      <c r="Q2917" s="1"/>
      <c r="R2917" s="1"/>
      <c r="S2917" s="1"/>
      <c r="T2917" s="1"/>
      <c r="U2917" s="1"/>
      <c r="V2917" s="1"/>
      <c r="W2917" s="1"/>
      <c r="X2917" s="1"/>
      <c r="Y2917" s="1"/>
      <c r="Z2917" s="1"/>
    </row>
    <row r="2918" customFormat="false" ht="21.75" hidden="false" customHeight="true" outlineLevel="0" collapsed="false">
      <c r="A2918" s="4" t="n">
        <v>43503</v>
      </c>
      <c r="B2918" s="46" t="s">
        <v>1114</v>
      </c>
      <c r="C2918" s="46" t="s">
        <v>15</v>
      </c>
      <c r="D2918" s="52" t="s">
        <v>43</v>
      </c>
      <c r="E2918" s="52" t="s">
        <v>109</v>
      </c>
      <c r="F2918" s="46" t="s">
        <v>6770</v>
      </c>
      <c r="G2918" s="46" t="n">
        <f aca="false">+593979191541</f>
        <v>593979191541</v>
      </c>
      <c r="H2918" s="46" t="s">
        <v>6771</v>
      </c>
      <c r="I2918" s="46"/>
      <c r="J2918" s="1"/>
      <c r="K2918" s="1" t="s">
        <v>6772</v>
      </c>
      <c r="L2918" s="1"/>
      <c r="M2918" s="1"/>
      <c r="N2918" s="1"/>
      <c r="O2918" s="1"/>
      <c r="P2918" s="6"/>
      <c r="Q2918" s="1"/>
      <c r="R2918" s="1"/>
      <c r="S2918" s="1"/>
      <c r="T2918" s="1"/>
      <c r="U2918" s="1"/>
      <c r="V2918" s="1"/>
      <c r="W2918" s="1"/>
      <c r="X2918" s="1"/>
      <c r="Y2918" s="1"/>
      <c r="Z2918" s="1"/>
    </row>
    <row r="2919" customFormat="false" ht="21.75" hidden="false" customHeight="true" outlineLevel="0" collapsed="false">
      <c r="A2919" s="4" t="n">
        <v>43503</v>
      </c>
      <c r="B2919" s="46" t="s">
        <v>532</v>
      </c>
      <c r="C2919" s="46" t="s">
        <v>15</v>
      </c>
      <c r="D2919" s="52" t="s">
        <v>43</v>
      </c>
      <c r="E2919" s="52" t="s">
        <v>109</v>
      </c>
      <c r="F2919" s="46" t="s">
        <v>6773</v>
      </c>
      <c r="G2919" s="46" t="n">
        <f aca="false">+593042442055</f>
        <v>593042442055</v>
      </c>
      <c r="H2919" s="46" t="s">
        <v>6774</v>
      </c>
      <c r="I2919" s="46"/>
      <c r="J2919" s="1"/>
      <c r="K2919" s="1" t="s">
        <v>1156</v>
      </c>
      <c r="L2919" s="79" t="s">
        <v>1156</v>
      </c>
      <c r="M2919" s="1"/>
      <c r="N2919" s="1"/>
      <c r="O2919" s="1"/>
      <c r="P2919" s="6"/>
      <c r="Q2919" s="1"/>
      <c r="R2919" s="1"/>
      <c r="S2919" s="1"/>
      <c r="T2919" s="1"/>
      <c r="U2919" s="1"/>
      <c r="V2919" s="1"/>
      <c r="W2919" s="1"/>
      <c r="X2919" s="1"/>
      <c r="Y2919" s="1"/>
      <c r="Z2919" s="1"/>
    </row>
    <row r="2920" customFormat="false" ht="21.75" hidden="false" customHeight="true" outlineLevel="0" collapsed="false">
      <c r="A2920" s="4" t="n">
        <v>43503</v>
      </c>
      <c r="B2920" s="46" t="s">
        <v>178</v>
      </c>
      <c r="C2920" s="46" t="s">
        <v>15</v>
      </c>
      <c r="D2920" s="52" t="s">
        <v>43</v>
      </c>
      <c r="E2920" s="52" t="s">
        <v>109</v>
      </c>
      <c r="F2920" s="46" t="s">
        <v>6775</v>
      </c>
      <c r="G2920" s="46" t="n">
        <f aca="false">+593961384419</f>
        <v>593961384419</v>
      </c>
      <c r="H2920" s="46" t="s">
        <v>6776</v>
      </c>
      <c r="I2920" s="46"/>
      <c r="J2920" s="1"/>
      <c r="K2920" s="1" t="s">
        <v>1156</v>
      </c>
      <c r="L2920" s="79" t="s">
        <v>1156</v>
      </c>
      <c r="M2920" s="1"/>
      <c r="N2920" s="1"/>
      <c r="O2920" s="1"/>
      <c r="P2920" s="6"/>
      <c r="Q2920" s="1"/>
      <c r="R2920" s="1"/>
      <c r="S2920" s="1"/>
      <c r="T2920" s="1"/>
      <c r="U2920" s="1"/>
      <c r="V2920" s="1"/>
      <c r="W2920" s="1"/>
      <c r="X2920" s="1"/>
      <c r="Y2920" s="1"/>
      <c r="Z2920" s="1"/>
    </row>
    <row r="2921" customFormat="false" ht="21.75" hidden="false" customHeight="true" outlineLevel="0" collapsed="false">
      <c r="A2921" s="4" t="n">
        <v>43503</v>
      </c>
      <c r="B2921" s="46" t="s">
        <v>48</v>
      </c>
      <c r="C2921" s="46" t="s">
        <v>15</v>
      </c>
      <c r="D2921" s="52" t="s">
        <v>43</v>
      </c>
      <c r="E2921" s="52" t="s">
        <v>109</v>
      </c>
      <c r="F2921" s="46" t="s">
        <v>6777</v>
      </c>
      <c r="G2921" s="46" t="n">
        <f aca="false">+5930959709457</f>
        <v>5930959709457</v>
      </c>
      <c r="H2921" s="46" t="s">
        <v>6778</v>
      </c>
      <c r="I2921" s="46"/>
      <c r="J2921" s="1"/>
      <c r="K2921" s="1" t="s">
        <v>1156</v>
      </c>
      <c r="L2921" s="1" t="s">
        <v>6540</v>
      </c>
      <c r="M2921" s="1"/>
      <c r="N2921" s="1"/>
      <c r="O2921" s="1"/>
      <c r="P2921" s="6"/>
      <c r="Q2921" s="1"/>
      <c r="R2921" s="1"/>
      <c r="S2921" s="1"/>
      <c r="T2921" s="1"/>
      <c r="U2921" s="1"/>
      <c r="V2921" s="1"/>
      <c r="W2921" s="1"/>
      <c r="X2921" s="1"/>
      <c r="Y2921" s="1"/>
      <c r="Z2921" s="1"/>
    </row>
    <row r="2922" customFormat="false" ht="21.75" hidden="false" customHeight="true" outlineLevel="0" collapsed="false">
      <c r="A2922" s="4" t="n">
        <v>43503</v>
      </c>
      <c r="B2922" s="46" t="s">
        <v>81</v>
      </c>
      <c r="C2922" s="46" t="s">
        <v>15</v>
      </c>
      <c r="D2922" s="52" t="s">
        <v>43</v>
      </c>
      <c r="E2922" s="52" t="s">
        <v>109</v>
      </c>
      <c r="F2922" s="46" t="s">
        <v>6779</v>
      </c>
      <c r="G2922" s="46" t="n">
        <f aca="false">+593986816905</f>
        <v>593986816905</v>
      </c>
      <c r="H2922" s="46" t="s">
        <v>6780</v>
      </c>
      <c r="I2922" s="46"/>
      <c r="J2922" s="1"/>
      <c r="K2922" s="1" t="s">
        <v>1156</v>
      </c>
      <c r="L2922" s="1" t="s">
        <v>6781</v>
      </c>
      <c r="M2922" s="1"/>
      <c r="N2922" s="1"/>
      <c r="O2922" s="1"/>
      <c r="P2922" s="6"/>
      <c r="Q2922" s="1"/>
      <c r="R2922" s="1"/>
      <c r="S2922" s="1"/>
      <c r="T2922" s="1"/>
      <c r="U2922" s="1"/>
      <c r="V2922" s="1"/>
      <c r="W2922" s="1"/>
      <c r="X2922" s="1"/>
      <c r="Y2922" s="1"/>
      <c r="Z2922" s="1"/>
    </row>
    <row r="2923" customFormat="false" ht="21.75" hidden="false" customHeight="true" outlineLevel="0" collapsed="false">
      <c r="A2923" s="4" t="n">
        <v>43503</v>
      </c>
      <c r="B2923" s="46" t="s">
        <v>532</v>
      </c>
      <c r="C2923" s="46" t="s">
        <v>15</v>
      </c>
      <c r="D2923" s="52" t="s">
        <v>43</v>
      </c>
      <c r="E2923" s="52" t="s">
        <v>109</v>
      </c>
      <c r="F2923" s="46" t="s">
        <v>6782</v>
      </c>
      <c r="G2923" s="46" t="n">
        <f aca="false">+593978612599</f>
        <v>593978612599</v>
      </c>
      <c r="H2923" s="46" t="s">
        <v>6783</v>
      </c>
      <c r="I2923" s="46"/>
      <c r="J2923" s="1"/>
      <c r="K2923" s="1" t="s">
        <v>6784</v>
      </c>
      <c r="L2923" s="1"/>
      <c r="M2923" s="1"/>
      <c r="N2923" s="1"/>
      <c r="O2923" s="1"/>
      <c r="P2923" s="6"/>
      <c r="Q2923" s="1"/>
      <c r="R2923" s="1"/>
      <c r="S2923" s="1"/>
      <c r="T2923" s="1"/>
      <c r="U2923" s="1"/>
      <c r="V2923" s="1"/>
      <c r="W2923" s="1"/>
      <c r="X2923" s="1"/>
      <c r="Y2923" s="1"/>
      <c r="Z2923" s="1"/>
    </row>
    <row r="2924" customFormat="false" ht="21.75" hidden="false" customHeight="true" outlineLevel="0" collapsed="false">
      <c r="A2924" s="4" t="n">
        <v>43503</v>
      </c>
      <c r="B2924" s="46" t="s">
        <v>48</v>
      </c>
      <c r="C2924" s="46" t="s">
        <v>15</v>
      </c>
      <c r="D2924" s="52" t="s">
        <v>43</v>
      </c>
      <c r="E2924" s="52" t="s">
        <v>109</v>
      </c>
      <c r="F2924" s="46" t="s">
        <v>6785</v>
      </c>
      <c r="G2924" s="46" t="n">
        <f aca="false">+593999597194</f>
        <v>593999597194</v>
      </c>
      <c r="H2924" s="46" t="s">
        <v>6786</v>
      </c>
      <c r="I2924" s="46"/>
      <c r="J2924" s="1"/>
      <c r="K2924" s="1" t="s">
        <v>6787</v>
      </c>
      <c r="L2924" s="1"/>
      <c r="M2924" s="1"/>
      <c r="N2924" s="1"/>
      <c r="O2924" s="1"/>
      <c r="P2924" s="6"/>
      <c r="Q2924" s="1"/>
      <c r="R2924" s="1"/>
      <c r="S2924" s="1"/>
      <c r="T2924" s="1"/>
      <c r="U2924" s="1"/>
      <c r="V2924" s="1"/>
      <c r="W2924" s="1"/>
      <c r="X2924" s="1"/>
      <c r="Y2924" s="1"/>
      <c r="Z2924" s="1"/>
    </row>
    <row r="2925" customFormat="false" ht="21.75" hidden="false" customHeight="true" outlineLevel="0" collapsed="false">
      <c r="A2925" s="4" t="n">
        <v>43503</v>
      </c>
      <c r="B2925" s="46" t="s">
        <v>352</v>
      </c>
      <c r="C2925" s="46" t="s">
        <v>26</v>
      </c>
      <c r="D2925" s="52" t="s">
        <v>43</v>
      </c>
      <c r="E2925" s="52" t="s">
        <v>109</v>
      </c>
      <c r="F2925" s="46" t="s">
        <v>6788</v>
      </c>
      <c r="G2925" s="46" t="n">
        <f aca="false">+593992434036</f>
        <v>593992434036</v>
      </c>
      <c r="H2925" s="46" t="s">
        <v>6789</v>
      </c>
      <c r="I2925" s="46"/>
      <c r="J2925" s="1"/>
      <c r="K2925" s="2" t="s">
        <v>6478</v>
      </c>
      <c r="L2925" s="1"/>
      <c r="M2925" s="1"/>
      <c r="N2925" s="1"/>
      <c r="O2925" s="1"/>
      <c r="P2925" s="6"/>
      <c r="Q2925" s="1"/>
      <c r="R2925" s="1"/>
      <c r="S2925" s="1"/>
      <c r="T2925" s="1"/>
      <c r="U2925" s="1"/>
      <c r="V2925" s="1"/>
      <c r="W2925" s="1"/>
      <c r="X2925" s="1"/>
      <c r="Y2925" s="1"/>
      <c r="Z2925" s="1"/>
    </row>
    <row r="2926" customFormat="false" ht="21.75" hidden="false" customHeight="true" outlineLevel="0" collapsed="false">
      <c r="A2926" s="4" t="n">
        <v>43503</v>
      </c>
      <c r="B2926" s="46" t="s">
        <v>323</v>
      </c>
      <c r="C2926" s="46" t="s">
        <v>15</v>
      </c>
      <c r="D2926" s="52" t="s">
        <v>43</v>
      </c>
      <c r="E2926" s="52" t="s">
        <v>109</v>
      </c>
      <c r="F2926" s="46" t="s">
        <v>6790</v>
      </c>
      <c r="G2926" s="46" t="n">
        <f aca="false">+593959592388</f>
        <v>593959592388</v>
      </c>
      <c r="H2926" s="46" t="s">
        <v>6791</v>
      </c>
      <c r="I2926" s="46"/>
      <c r="J2926" s="1"/>
      <c r="K2926" s="2" t="s">
        <v>6540</v>
      </c>
      <c r="L2926" s="1"/>
      <c r="M2926" s="1"/>
      <c r="N2926" s="1"/>
      <c r="O2926" s="1"/>
      <c r="P2926" s="6"/>
      <c r="Q2926" s="1"/>
      <c r="R2926" s="1"/>
      <c r="S2926" s="1"/>
      <c r="T2926" s="1"/>
      <c r="U2926" s="1"/>
      <c r="V2926" s="1"/>
      <c r="W2926" s="1"/>
      <c r="X2926" s="1"/>
      <c r="Y2926" s="1"/>
      <c r="Z2926" s="1"/>
    </row>
    <row r="2927" customFormat="false" ht="21.75" hidden="false" customHeight="true" outlineLevel="0" collapsed="false">
      <c r="A2927" s="4" t="n">
        <v>43503</v>
      </c>
      <c r="B2927" s="46" t="s">
        <v>1114</v>
      </c>
      <c r="C2927" s="46" t="s">
        <v>15</v>
      </c>
      <c r="D2927" s="52" t="s">
        <v>43</v>
      </c>
      <c r="E2927" s="52" t="s">
        <v>109</v>
      </c>
      <c r="F2927" s="46" t="s">
        <v>6792</v>
      </c>
      <c r="G2927" s="46" t="n">
        <f aca="false">+593981718109</f>
        <v>593981718109</v>
      </c>
      <c r="H2927" s="46" t="s">
        <v>6793</v>
      </c>
      <c r="I2927" s="46"/>
      <c r="J2927" s="1"/>
      <c r="K2927" s="1" t="s">
        <v>6794</v>
      </c>
      <c r="L2927" s="1"/>
      <c r="M2927" s="1"/>
      <c r="N2927" s="1"/>
      <c r="O2927" s="1"/>
      <c r="P2927" s="6"/>
      <c r="Q2927" s="1"/>
      <c r="R2927" s="1"/>
      <c r="S2927" s="1"/>
      <c r="T2927" s="1"/>
      <c r="U2927" s="1"/>
      <c r="V2927" s="1"/>
      <c r="W2927" s="1"/>
      <c r="X2927" s="1"/>
      <c r="Y2927" s="1"/>
      <c r="Z2927" s="1"/>
    </row>
    <row r="2928" customFormat="false" ht="21.75" hidden="false" customHeight="true" outlineLevel="0" collapsed="false">
      <c r="A2928" s="4" t="n">
        <v>43503</v>
      </c>
      <c r="B2928" s="46" t="s">
        <v>415</v>
      </c>
      <c r="C2928" s="46" t="s">
        <v>15</v>
      </c>
      <c r="D2928" s="52" t="s">
        <v>43</v>
      </c>
      <c r="E2928" s="52" t="s">
        <v>109</v>
      </c>
      <c r="F2928" s="46" t="s">
        <v>6795</v>
      </c>
      <c r="G2928" s="46" t="n">
        <f aca="false">+593967093543</f>
        <v>593967093543</v>
      </c>
      <c r="H2928" s="46" t="s">
        <v>6796</v>
      </c>
      <c r="I2928" s="46"/>
      <c r="J2928" s="1"/>
      <c r="K2928" s="1" t="s">
        <v>21</v>
      </c>
      <c r="L2928" s="1" t="s">
        <v>1156</v>
      </c>
      <c r="M2928" s="1"/>
      <c r="N2928" s="1"/>
      <c r="O2928" s="1"/>
      <c r="P2928" s="6"/>
      <c r="Q2928" s="1"/>
      <c r="R2928" s="1"/>
      <c r="S2928" s="1"/>
      <c r="T2928" s="1"/>
      <c r="U2928" s="1"/>
      <c r="V2928" s="1"/>
      <c r="W2928" s="1"/>
      <c r="X2928" s="1"/>
      <c r="Y2928" s="1"/>
      <c r="Z2928" s="1"/>
    </row>
    <row r="2929" customFormat="false" ht="21.75" hidden="false" customHeight="true" outlineLevel="0" collapsed="false">
      <c r="A2929" s="4" t="n">
        <v>43503</v>
      </c>
      <c r="B2929" s="46" t="s">
        <v>127</v>
      </c>
      <c r="C2929" s="46" t="s">
        <v>15</v>
      </c>
      <c r="D2929" s="52" t="s">
        <v>43</v>
      </c>
      <c r="E2929" s="52" t="s">
        <v>109</v>
      </c>
      <c r="F2929" s="46" t="s">
        <v>6797</v>
      </c>
      <c r="G2929" s="46" t="n">
        <f aca="false">+593978746253</f>
        <v>593978746253</v>
      </c>
      <c r="H2929" s="46" t="s">
        <v>6798</v>
      </c>
      <c r="I2929" s="46"/>
      <c r="J2929" s="1"/>
      <c r="K2929" s="1" t="s">
        <v>21</v>
      </c>
      <c r="L2929" s="1" t="s">
        <v>1156</v>
      </c>
      <c r="M2929" s="1"/>
      <c r="N2929" s="1"/>
      <c r="O2929" s="1"/>
      <c r="P2929" s="6"/>
      <c r="Q2929" s="1"/>
      <c r="R2929" s="1"/>
      <c r="S2929" s="1"/>
      <c r="T2929" s="1"/>
      <c r="U2929" s="1"/>
      <c r="V2929" s="1"/>
      <c r="W2929" s="1"/>
      <c r="X2929" s="1"/>
      <c r="Y2929" s="1"/>
      <c r="Z2929" s="1"/>
    </row>
    <row r="2930" customFormat="false" ht="21.75" hidden="false" customHeight="true" outlineLevel="0" collapsed="false">
      <c r="A2930" s="4" t="n">
        <v>43503</v>
      </c>
      <c r="B2930" s="46" t="s">
        <v>48</v>
      </c>
      <c r="C2930" s="46" t="s">
        <v>15</v>
      </c>
      <c r="D2930" s="52" t="s">
        <v>43</v>
      </c>
      <c r="E2930" s="52" t="s">
        <v>109</v>
      </c>
      <c r="F2930" s="46" t="s">
        <v>6799</v>
      </c>
      <c r="G2930" s="46" t="n">
        <f aca="false">+593993799682</f>
        <v>593993799682</v>
      </c>
      <c r="H2930" s="46" t="s">
        <v>6800</v>
      </c>
      <c r="I2930" s="46"/>
      <c r="J2930" s="1"/>
      <c r="K2930" s="1" t="s">
        <v>6801</v>
      </c>
      <c r="L2930" s="1"/>
      <c r="M2930" s="1"/>
      <c r="N2930" s="1"/>
      <c r="O2930" s="1"/>
      <c r="P2930" s="6"/>
      <c r="Q2930" s="1"/>
      <c r="R2930" s="1"/>
      <c r="S2930" s="1"/>
      <c r="T2930" s="1"/>
      <c r="U2930" s="1"/>
      <c r="V2930" s="1"/>
      <c r="W2930" s="1"/>
      <c r="X2930" s="1"/>
      <c r="Y2930" s="1"/>
      <c r="Z2930" s="1"/>
    </row>
    <row r="2931" customFormat="false" ht="21.75" hidden="false" customHeight="true" outlineLevel="0" collapsed="false">
      <c r="A2931" s="4" t="n">
        <v>43503</v>
      </c>
      <c r="B2931" s="46" t="s">
        <v>48</v>
      </c>
      <c r="C2931" s="46" t="s">
        <v>15</v>
      </c>
      <c r="D2931" s="52" t="s">
        <v>43</v>
      </c>
      <c r="E2931" s="52" t="s">
        <v>109</v>
      </c>
      <c r="F2931" s="46" t="s">
        <v>6802</v>
      </c>
      <c r="G2931" s="46" t="n">
        <f aca="false">+593993915528</f>
        <v>593993915528</v>
      </c>
      <c r="H2931" s="46" t="s">
        <v>6803</v>
      </c>
      <c r="I2931" s="46"/>
      <c r="J2931" s="1"/>
      <c r="K2931" s="1" t="s">
        <v>21</v>
      </c>
      <c r="L2931" s="1" t="s">
        <v>6804</v>
      </c>
      <c r="M2931" s="1"/>
      <c r="N2931" s="1"/>
      <c r="O2931" s="1"/>
      <c r="P2931" s="6"/>
      <c r="Q2931" s="1"/>
      <c r="R2931" s="1"/>
      <c r="S2931" s="1"/>
      <c r="T2931" s="1"/>
      <c r="U2931" s="1"/>
      <c r="V2931" s="1"/>
      <c r="W2931" s="1"/>
      <c r="X2931" s="1"/>
      <c r="Y2931" s="1"/>
      <c r="Z2931" s="1"/>
    </row>
    <row r="2932" customFormat="false" ht="21.75" hidden="false" customHeight="true" outlineLevel="0" collapsed="false">
      <c r="A2932" s="4" t="n">
        <v>43503</v>
      </c>
      <c r="B2932" s="46" t="s">
        <v>81</v>
      </c>
      <c r="C2932" s="46" t="s">
        <v>15</v>
      </c>
      <c r="D2932" s="52" t="s">
        <v>43</v>
      </c>
      <c r="E2932" s="52" t="s">
        <v>109</v>
      </c>
      <c r="F2932" s="46" t="s">
        <v>6805</v>
      </c>
      <c r="G2932" s="46" t="n">
        <f aca="false">+593983884984</f>
        <v>593983884984</v>
      </c>
      <c r="H2932" s="46" t="s">
        <v>6806</v>
      </c>
      <c r="I2932" s="46"/>
      <c r="J2932" s="1"/>
      <c r="K2932" s="1" t="s">
        <v>2714</v>
      </c>
      <c r="L2932" s="1"/>
      <c r="M2932" s="1"/>
      <c r="N2932" s="1"/>
      <c r="O2932" s="1"/>
      <c r="P2932" s="6"/>
      <c r="Q2932" s="1"/>
      <c r="R2932" s="1"/>
      <c r="S2932" s="1"/>
      <c r="T2932" s="1"/>
      <c r="U2932" s="1"/>
      <c r="V2932" s="1"/>
      <c r="W2932" s="1"/>
      <c r="X2932" s="1"/>
      <c r="Y2932" s="1"/>
      <c r="Z2932" s="1"/>
    </row>
    <row r="2933" customFormat="false" ht="21.75" hidden="false" customHeight="true" outlineLevel="0" collapsed="false">
      <c r="A2933" s="4" t="n">
        <v>43503</v>
      </c>
      <c r="B2933" s="46" t="s">
        <v>48</v>
      </c>
      <c r="C2933" s="46" t="s">
        <v>15</v>
      </c>
      <c r="D2933" s="52" t="s">
        <v>43</v>
      </c>
      <c r="E2933" s="52" t="s">
        <v>109</v>
      </c>
      <c r="F2933" s="46" t="s">
        <v>6807</v>
      </c>
      <c r="G2933" s="46" t="n">
        <f aca="false">+593992371749</f>
        <v>593992371749</v>
      </c>
      <c r="H2933" s="46" t="s">
        <v>6808</v>
      </c>
      <c r="I2933" s="46"/>
      <c r="J2933" s="1"/>
      <c r="K2933" s="1" t="s">
        <v>21</v>
      </c>
      <c r="L2933" s="1" t="s">
        <v>1156</v>
      </c>
      <c r="M2933" s="1"/>
      <c r="N2933" s="1"/>
      <c r="O2933" s="1"/>
      <c r="P2933" s="6"/>
      <c r="Q2933" s="1"/>
      <c r="R2933" s="1"/>
      <c r="S2933" s="1"/>
      <c r="T2933" s="1"/>
      <c r="U2933" s="1"/>
      <c r="V2933" s="1"/>
      <c r="W2933" s="1"/>
      <c r="X2933" s="1"/>
      <c r="Y2933" s="1"/>
      <c r="Z2933" s="1"/>
    </row>
    <row r="2934" customFormat="false" ht="21.75" hidden="false" customHeight="true" outlineLevel="0" collapsed="false">
      <c r="A2934" s="4" t="n">
        <v>43503</v>
      </c>
      <c r="B2934" s="53" t="s">
        <v>48</v>
      </c>
      <c r="C2934" s="46" t="s">
        <v>15</v>
      </c>
      <c r="D2934" s="46" t="s">
        <v>43</v>
      </c>
      <c r="E2934" s="46" t="s">
        <v>44</v>
      </c>
      <c r="F2934" s="46" t="s">
        <v>6809</v>
      </c>
      <c r="G2934" s="46" t="n">
        <f aca="false">+593968484929</f>
        <v>593968484929</v>
      </c>
      <c r="H2934" s="46" t="s">
        <v>6810</v>
      </c>
      <c r="I2934" s="46"/>
      <c r="J2934" s="1"/>
      <c r="K2934" s="1" t="s">
        <v>21</v>
      </c>
      <c r="L2934" s="1" t="s">
        <v>6811</v>
      </c>
      <c r="M2934" s="1"/>
      <c r="N2934" s="1"/>
      <c r="O2934" s="1"/>
      <c r="P2934" s="6"/>
      <c r="Q2934" s="1"/>
      <c r="R2934" s="1"/>
      <c r="S2934" s="1"/>
      <c r="T2934" s="1"/>
      <c r="U2934" s="1"/>
      <c r="V2934" s="1"/>
      <c r="W2934" s="1"/>
      <c r="X2934" s="1"/>
      <c r="Y2934" s="1"/>
      <c r="Z2934" s="1"/>
    </row>
    <row r="2935" customFormat="false" ht="21.75" hidden="false" customHeight="true" outlineLevel="0" collapsed="false">
      <c r="A2935" s="4" t="n">
        <v>43503</v>
      </c>
      <c r="B2935" s="53" t="s">
        <v>48</v>
      </c>
      <c r="C2935" s="46" t="s">
        <v>15</v>
      </c>
      <c r="D2935" s="46" t="s">
        <v>43</v>
      </c>
      <c r="E2935" s="46" t="s">
        <v>44</v>
      </c>
      <c r="F2935" s="46" t="s">
        <v>6812</v>
      </c>
      <c r="G2935" s="46" t="n">
        <f aca="false">+593979290900</f>
        <v>593979290900</v>
      </c>
      <c r="H2935" s="46" t="s">
        <v>6813</v>
      </c>
      <c r="I2935" s="46"/>
      <c r="J2935" s="1"/>
      <c r="K2935" s="1" t="s">
        <v>21</v>
      </c>
      <c r="L2935" s="1" t="s">
        <v>1156</v>
      </c>
      <c r="M2935" s="1"/>
      <c r="N2935" s="1"/>
      <c r="O2935" s="1"/>
      <c r="P2935" s="6"/>
      <c r="Q2935" s="1"/>
      <c r="R2935" s="1"/>
      <c r="S2935" s="1"/>
      <c r="T2935" s="1"/>
      <c r="U2935" s="1"/>
      <c r="V2935" s="1"/>
      <c r="W2935" s="1"/>
      <c r="X2935" s="1"/>
      <c r="Y2935" s="1"/>
      <c r="Z2935" s="1"/>
    </row>
    <row r="2936" customFormat="false" ht="21.75" hidden="false" customHeight="true" outlineLevel="0" collapsed="false">
      <c r="A2936" s="4" t="n">
        <v>43503</v>
      </c>
      <c r="B2936" s="53" t="s">
        <v>48</v>
      </c>
      <c r="C2936" s="46" t="s">
        <v>15</v>
      </c>
      <c r="D2936" s="46" t="s">
        <v>43</v>
      </c>
      <c r="E2936" s="46" t="s">
        <v>44</v>
      </c>
      <c r="F2936" s="46" t="s">
        <v>6814</v>
      </c>
      <c r="G2936" s="46" t="n">
        <f aca="false">+5930992756673</f>
        <v>5930992756673</v>
      </c>
      <c r="H2936" s="46" t="s">
        <v>6815</v>
      </c>
      <c r="I2936" s="46"/>
      <c r="J2936" s="1"/>
      <c r="K2936" s="1" t="s">
        <v>6095</v>
      </c>
      <c r="L2936" s="1"/>
      <c r="M2936" s="1"/>
      <c r="N2936" s="1"/>
      <c r="O2936" s="1"/>
      <c r="P2936" s="6"/>
      <c r="Q2936" s="1"/>
      <c r="R2936" s="1"/>
      <c r="S2936" s="1"/>
      <c r="T2936" s="1"/>
      <c r="U2936" s="1"/>
      <c r="V2936" s="1"/>
      <c r="W2936" s="1"/>
      <c r="X2936" s="1"/>
      <c r="Y2936" s="1"/>
      <c r="Z2936" s="1"/>
    </row>
    <row r="2937" customFormat="false" ht="21.75" hidden="false" customHeight="true" outlineLevel="0" collapsed="false">
      <c r="A2937" s="4" t="n">
        <v>43503</v>
      </c>
      <c r="B2937" s="53" t="s">
        <v>48</v>
      </c>
      <c r="C2937" s="46" t="s">
        <v>15</v>
      </c>
      <c r="D2937" s="46" t="s">
        <v>43</v>
      </c>
      <c r="E2937" s="46" t="s">
        <v>44</v>
      </c>
      <c r="F2937" s="46" t="s">
        <v>1607</v>
      </c>
      <c r="G2937" s="46" t="n">
        <f aca="false">+593995021936</f>
        <v>593995021936</v>
      </c>
      <c r="H2937" s="46" t="s">
        <v>4877</v>
      </c>
      <c r="I2937" s="46"/>
      <c r="J2937" s="1"/>
      <c r="K2937" s="1" t="s">
        <v>21</v>
      </c>
      <c r="L2937" s="1" t="s">
        <v>1156</v>
      </c>
      <c r="M2937" s="1"/>
      <c r="N2937" s="1"/>
      <c r="O2937" s="1"/>
      <c r="P2937" s="6"/>
      <c r="Q2937" s="1"/>
      <c r="R2937" s="1"/>
      <c r="S2937" s="1"/>
      <c r="T2937" s="1"/>
      <c r="U2937" s="1"/>
      <c r="V2937" s="1"/>
      <c r="W2937" s="1"/>
      <c r="X2937" s="1"/>
      <c r="Y2937" s="1"/>
      <c r="Z2937" s="1"/>
    </row>
    <row r="2938" customFormat="false" ht="21.75" hidden="false" customHeight="true" outlineLevel="0" collapsed="false">
      <c r="A2938" s="4" t="n">
        <v>43503</v>
      </c>
      <c r="B2938" s="53" t="s">
        <v>48</v>
      </c>
      <c r="C2938" s="46" t="s">
        <v>15</v>
      </c>
      <c r="D2938" s="46" t="s">
        <v>43</v>
      </c>
      <c r="E2938" s="46" t="s">
        <v>44</v>
      </c>
      <c r="F2938" s="46" t="s">
        <v>6816</v>
      </c>
      <c r="G2938" s="46" t="n">
        <f aca="false">+593980242874</f>
        <v>593980242874</v>
      </c>
      <c r="H2938" s="46" t="s">
        <v>6817</v>
      </c>
      <c r="I2938" s="46"/>
      <c r="J2938" s="1"/>
      <c r="K2938" s="1" t="s">
        <v>21</v>
      </c>
      <c r="L2938" s="1" t="s">
        <v>1156</v>
      </c>
      <c r="M2938" s="1"/>
      <c r="N2938" s="1"/>
      <c r="O2938" s="1"/>
      <c r="P2938" s="6"/>
      <c r="Q2938" s="1"/>
      <c r="R2938" s="1"/>
      <c r="S2938" s="1"/>
      <c r="T2938" s="1"/>
      <c r="U2938" s="1"/>
      <c r="V2938" s="1"/>
      <c r="W2938" s="1"/>
      <c r="X2938" s="1"/>
      <c r="Y2938" s="1"/>
      <c r="Z2938" s="1"/>
    </row>
    <row r="2939" customFormat="false" ht="21.75" hidden="false" customHeight="true" outlineLevel="0" collapsed="false">
      <c r="A2939" s="4" t="n">
        <v>43503</v>
      </c>
      <c r="B2939" s="53" t="s">
        <v>48</v>
      </c>
      <c r="C2939" s="46" t="s">
        <v>15</v>
      </c>
      <c r="D2939" s="46" t="s">
        <v>43</v>
      </c>
      <c r="E2939" s="46" t="s">
        <v>44</v>
      </c>
      <c r="F2939" s="46" t="s">
        <v>6818</v>
      </c>
      <c r="G2939" s="46" t="n">
        <f aca="false">+5930967348253</f>
        <v>5930967348253</v>
      </c>
      <c r="H2939" s="46" t="s">
        <v>6819</v>
      </c>
      <c r="I2939" s="46"/>
      <c r="J2939" s="1"/>
      <c r="K2939" s="1" t="s">
        <v>21</v>
      </c>
      <c r="L2939" s="1" t="s">
        <v>1156</v>
      </c>
      <c r="M2939" s="1"/>
      <c r="N2939" s="1"/>
      <c r="O2939" s="1"/>
      <c r="P2939" s="6"/>
      <c r="Q2939" s="1"/>
      <c r="R2939" s="1"/>
      <c r="S2939" s="1"/>
      <c r="T2939" s="1"/>
      <c r="U2939" s="1"/>
      <c r="V2939" s="1"/>
      <c r="W2939" s="1"/>
      <c r="X2939" s="1"/>
      <c r="Y2939" s="1"/>
      <c r="Z2939" s="1"/>
    </row>
    <row r="2940" customFormat="false" ht="21.75" hidden="false" customHeight="true" outlineLevel="0" collapsed="false">
      <c r="A2940" s="4" t="n">
        <v>43503</v>
      </c>
      <c r="B2940" s="53" t="s">
        <v>48</v>
      </c>
      <c r="C2940" s="46" t="s">
        <v>26</v>
      </c>
      <c r="D2940" s="46" t="s">
        <v>43</v>
      </c>
      <c r="E2940" s="46" t="s">
        <v>44</v>
      </c>
      <c r="F2940" s="46" t="s">
        <v>6820</v>
      </c>
      <c r="G2940" s="46" t="n">
        <f aca="false">+593987166772</f>
        <v>593987166772</v>
      </c>
      <c r="H2940" s="46" t="s">
        <v>6821</v>
      </c>
      <c r="I2940" s="46"/>
      <c r="J2940" s="1"/>
      <c r="K2940" s="1" t="s">
        <v>6822</v>
      </c>
      <c r="L2940" s="1"/>
      <c r="M2940" s="1"/>
      <c r="N2940" s="1"/>
      <c r="O2940" s="1"/>
      <c r="P2940" s="6"/>
      <c r="Q2940" s="1"/>
      <c r="R2940" s="1"/>
      <c r="S2940" s="1"/>
      <c r="T2940" s="1"/>
      <c r="U2940" s="1"/>
      <c r="V2940" s="1"/>
      <c r="W2940" s="1"/>
      <c r="X2940" s="1"/>
      <c r="Y2940" s="1"/>
      <c r="Z2940" s="1"/>
    </row>
    <row r="2941" customFormat="false" ht="21.75" hidden="false" customHeight="true" outlineLevel="0" collapsed="false">
      <c r="A2941" s="4" t="n">
        <v>43503</v>
      </c>
      <c r="B2941" s="53" t="s">
        <v>48</v>
      </c>
      <c r="C2941" s="46" t="s">
        <v>15</v>
      </c>
      <c r="D2941" s="46" t="s">
        <v>43</v>
      </c>
      <c r="E2941" s="46" t="s">
        <v>44</v>
      </c>
      <c r="F2941" s="46" t="s">
        <v>6823</v>
      </c>
      <c r="G2941" s="46" t="n">
        <f aca="false">+593982793157</f>
        <v>593982793157</v>
      </c>
      <c r="H2941" s="46" t="s">
        <v>6824</v>
      </c>
      <c r="I2941" s="46"/>
      <c r="J2941" s="1"/>
      <c r="K2941" s="1" t="s">
        <v>21</v>
      </c>
      <c r="L2941" s="1" t="s">
        <v>1156</v>
      </c>
      <c r="M2941" s="1"/>
      <c r="N2941" s="1"/>
      <c r="O2941" s="1"/>
      <c r="P2941" s="6"/>
      <c r="Q2941" s="1"/>
      <c r="R2941" s="1"/>
      <c r="S2941" s="1"/>
      <c r="T2941" s="1"/>
      <c r="U2941" s="1"/>
      <c r="V2941" s="1"/>
      <c r="W2941" s="1"/>
      <c r="X2941" s="1"/>
      <c r="Y2941" s="1"/>
      <c r="Z2941" s="1"/>
    </row>
    <row r="2942" customFormat="false" ht="21.75" hidden="false" customHeight="true" outlineLevel="0" collapsed="false">
      <c r="A2942" s="4" t="n">
        <v>43503</v>
      </c>
      <c r="B2942" s="53" t="s">
        <v>48</v>
      </c>
      <c r="C2942" s="46" t="s">
        <v>15</v>
      </c>
      <c r="D2942" s="46" t="s">
        <v>43</v>
      </c>
      <c r="E2942" s="46" t="s">
        <v>44</v>
      </c>
      <c r="F2942" s="46" t="s">
        <v>6825</v>
      </c>
      <c r="G2942" s="46" t="n">
        <f aca="false">+593969049276</f>
        <v>593969049276</v>
      </c>
      <c r="H2942" s="46" t="s">
        <v>6826</v>
      </c>
      <c r="I2942" s="46"/>
      <c r="J2942" s="1"/>
      <c r="K2942" s="1" t="s">
        <v>6827</v>
      </c>
      <c r="L2942" s="1"/>
      <c r="M2942" s="1"/>
      <c r="N2942" s="1"/>
      <c r="O2942" s="1"/>
      <c r="P2942" s="6"/>
      <c r="Q2942" s="1"/>
      <c r="R2942" s="1"/>
      <c r="S2942" s="1"/>
      <c r="T2942" s="1"/>
      <c r="U2942" s="1"/>
      <c r="V2942" s="1"/>
      <c r="W2942" s="1"/>
      <c r="X2942" s="1"/>
      <c r="Y2942" s="1"/>
      <c r="Z2942" s="1"/>
    </row>
    <row r="2943" customFormat="false" ht="21.75" hidden="false" customHeight="true" outlineLevel="0" collapsed="false">
      <c r="A2943" s="4" t="n">
        <v>43503</v>
      </c>
      <c r="B2943" s="53" t="s">
        <v>42</v>
      </c>
      <c r="C2943" s="46" t="s">
        <v>15</v>
      </c>
      <c r="D2943" s="46" t="s">
        <v>43</v>
      </c>
      <c r="E2943" s="46" t="s">
        <v>44</v>
      </c>
      <c r="F2943" s="46" t="s">
        <v>6828</v>
      </c>
      <c r="G2943" s="46" t="n">
        <f aca="false">+593999672528</f>
        <v>593999672528</v>
      </c>
      <c r="H2943" s="46" t="s">
        <v>6829</v>
      </c>
      <c r="I2943" s="46"/>
      <c r="J2943" s="1"/>
      <c r="K2943" s="1" t="s">
        <v>21</v>
      </c>
      <c r="L2943" s="1" t="s">
        <v>6830</v>
      </c>
      <c r="M2943" s="1"/>
      <c r="N2943" s="1"/>
      <c r="O2943" s="1"/>
      <c r="P2943" s="6"/>
      <c r="Q2943" s="1"/>
      <c r="R2943" s="1"/>
      <c r="S2943" s="1"/>
      <c r="T2943" s="1"/>
      <c r="U2943" s="1"/>
      <c r="V2943" s="1"/>
      <c r="W2943" s="1"/>
      <c r="X2943" s="1"/>
      <c r="Y2943" s="1"/>
      <c r="Z2943" s="1"/>
    </row>
    <row r="2944" customFormat="false" ht="21.75" hidden="false" customHeight="true" outlineLevel="0" collapsed="false">
      <c r="A2944" s="4" t="n">
        <v>43503</v>
      </c>
      <c r="B2944" s="53" t="s">
        <v>42</v>
      </c>
      <c r="C2944" s="46" t="s">
        <v>15</v>
      </c>
      <c r="D2944" s="46" t="s">
        <v>43</v>
      </c>
      <c r="E2944" s="46" t="s">
        <v>44</v>
      </c>
      <c r="F2944" s="46" t="s">
        <v>6831</v>
      </c>
      <c r="G2944" s="46" t="n">
        <f aca="false">+593990902296</f>
        <v>593990902296</v>
      </c>
      <c r="H2944" s="46" t="s">
        <v>6832</v>
      </c>
      <c r="I2944" s="46"/>
      <c r="J2944" s="1"/>
      <c r="K2944" s="1" t="s">
        <v>165</v>
      </c>
      <c r="L2944" s="1"/>
      <c r="M2944" s="1"/>
      <c r="N2944" s="1"/>
      <c r="O2944" s="1"/>
      <c r="P2944" s="6"/>
      <c r="Q2944" s="1"/>
      <c r="R2944" s="1"/>
      <c r="S2944" s="1"/>
      <c r="T2944" s="1"/>
      <c r="U2944" s="1"/>
      <c r="V2944" s="1"/>
      <c r="W2944" s="1"/>
      <c r="X2944" s="1"/>
      <c r="Y2944" s="1"/>
      <c r="Z2944" s="1"/>
    </row>
    <row r="2945" customFormat="false" ht="21.75" hidden="false" customHeight="true" outlineLevel="0" collapsed="false">
      <c r="A2945" s="4" t="n">
        <v>43503</v>
      </c>
      <c r="B2945" s="53" t="s">
        <v>415</v>
      </c>
      <c r="C2945" s="46" t="s">
        <v>15</v>
      </c>
      <c r="D2945" s="46" t="s">
        <v>43</v>
      </c>
      <c r="E2945" s="46" t="s">
        <v>44</v>
      </c>
      <c r="F2945" s="46" t="s">
        <v>6833</v>
      </c>
      <c r="G2945" s="46" t="n">
        <f aca="false">+593998370747</f>
        <v>593998370747</v>
      </c>
      <c r="H2945" s="46" t="s">
        <v>6834</v>
      </c>
      <c r="I2945" s="46"/>
      <c r="J2945" s="1"/>
      <c r="K2945" s="1" t="s">
        <v>21</v>
      </c>
      <c r="L2945" s="1" t="s">
        <v>1156</v>
      </c>
      <c r="M2945" s="1"/>
      <c r="N2945" s="1"/>
      <c r="O2945" s="1"/>
      <c r="P2945" s="6"/>
      <c r="Q2945" s="1"/>
      <c r="R2945" s="1"/>
      <c r="S2945" s="1"/>
      <c r="T2945" s="1"/>
      <c r="U2945" s="1"/>
      <c r="V2945" s="1"/>
      <c r="W2945" s="1"/>
      <c r="X2945" s="1"/>
      <c r="Y2945" s="1"/>
      <c r="Z2945" s="1"/>
    </row>
    <row r="2946" customFormat="false" ht="21.75" hidden="false" customHeight="true" outlineLevel="0" collapsed="false">
      <c r="A2946" s="4" t="n">
        <v>43503</v>
      </c>
      <c r="B2946" s="53" t="s">
        <v>415</v>
      </c>
      <c r="C2946" s="46" t="s">
        <v>15</v>
      </c>
      <c r="D2946" s="46" t="s">
        <v>43</v>
      </c>
      <c r="E2946" s="46" t="s">
        <v>44</v>
      </c>
      <c r="F2946" s="46" t="s">
        <v>6835</v>
      </c>
      <c r="G2946" s="46" t="n">
        <f aca="false">+593998633627</f>
        <v>593998633627</v>
      </c>
      <c r="H2946" s="46" t="s">
        <v>6836</v>
      </c>
      <c r="I2946" s="46"/>
      <c r="J2946" s="1"/>
      <c r="K2946" s="1" t="s">
        <v>6837</v>
      </c>
      <c r="L2946" s="1"/>
      <c r="M2946" s="1"/>
      <c r="N2946" s="1"/>
      <c r="O2946" s="1"/>
      <c r="P2946" s="6"/>
      <c r="Q2946" s="1"/>
      <c r="R2946" s="1"/>
      <c r="S2946" s="1"/>
      <c r="T2946" s="1"/>
      <c r="U2946" s="1"/>
      <c r="V2946" s="1"/>
      <c r="W2946" s="1"/>
      <c r="X2946" s="1"/>
      <c r="Y2946" s="1"/>
      <c r="Z2946" s="1"/>
    </row>
    <row r="2947" customFormat="false" ht="21.75" hidden="false" customHeight="true" outlineLevel="0" collapsed="false">
      <c r="A2947" s="4" t="n">
        <v>43503</v>
      </c>
      <c r="B2947" s="53" t="s">
        <v>415</v>
      </c>
      <c r="C2947" s="46" t="s">
        <v>15</v>
      </c>
      <c r="D2947" s="46" t="s">
        <v>43</v>
      </c>
      <c r="E2947" s="46" t="s">
        <v>44</v>
      </c>
      <c r="F2947" s="46" t="s">
        <v>6838</v>
      </c>
      <c r="G2947" s="46" t="n">
        <f aca="false">+593986985099</f>
        <v>593986985099</v>
      </c>
      <c r="H2947" s="46" t="s">
        <v>6839</v>
      </c>
      <c r="I2947" s="46"/>
      <c r="J2947" s="1"/>
      <c r="K2947" s="1" t="s">
        <v>6840</v>
      </c>
      <c r="L2947" s="1"/>
      <c r="M2947" s="1"/>
      <c r="N2947" s="1"/>
      <c r="O2947" s="1"/>
      <c r="P2947" s="6"/>
      <c r="Q2947" s="1"/>
      <c r="R2947" s="1"/>
      <c r="S2947" s="1"/>
      <c r="T2947" s="1"/>
      <c r="U2947" s="1"/>
      <c r="V2947" s="1"/>
      <c r="W2947" s="1"/>
      <c r="X2947" s="1"/>
      <c r="Y2947" s="1"/>
      <c r="Z2947" s="1"/>
    </row>
    <row r="2948" customFormat="false" ht="21.75" hidden="false" customHeight="true" outlineLevel="0" collapsed="false">
      <c r="A2948" s="4" t="n">
        <v>43503</v>
      </c>
      <c r="B2948" s="53" t="s">
        <v>178</v>
      </c>
      <c r="C2948" s="46" t="s">
        <v>15</v>
      </c>
      <c r="D2948" s="46" t="s">
        <v>43</v>
      </c>
      <c r="E2948" s="46" t="s">
        <v>44</v>
      </c>
      <c r="F2948" s="46" t="s">
        <v>6841</v>
      </c>
      <c r="G2948" s="46" t="n">
        <f aca="false">+593983403411</f>
        <v>593983403411</v>
      </c>
      <c r="H2948" s="46" t="s">
        <v>6842</v>
      </c>
      <c r="I2948" s="46"/>
      <c r="J2948" s="1"/>
      <c r="K2948" s="1" t="s">
        <v>21</v>
      </c>
      <c r="L2948" s="1" t="s">
        <v>5481</v>
      </c>
      <c r="M2948" s="1"/>
      <c r="N2948" s="1"/>
      <c r="O2948" s="1"/>
      <c r="P2948" s="6"/>
      <c r="Q2948" s="1"/>
      <c r="R2948" s="1"/>
      <c r="S2948" s="1"/>
      <c r="T2948" s="1"/>
      <c r="U2948" s="1"/>
      <c r="V2948" s="1"/>
      <c r="W2948" s="1"/>
      <c r="X2948" s="1"/>
      <c r="Y2948" s="1"/>
      <c r="Z2948" s="1"/>
    </row>
    <row r="2949" customFormat="false" ht="21.75" hidden="false" customHeight="true" outlineLevel="0" collapsed="false">
      <c r="A2949" s="4" t="n">
        <v>43503</v>
      </c>
      <c r="B2949" s="53" t="s">
        <v>178</v>
      </c>
      <c r="C2949" s="46" t="s">
        <v>15</v>
      </c>
      <c r="D2949" s="46" t="s">
        <v>43</v>
      </c>
      <c r="E2949" s="46" t="s">
        <v>44</v>
      </c>
      <c r="F2949" s="46" t="s">
        <v>6843</v>
      </c>
      <c r="G2949" s="46" t="n">
        <f aca="false">+5930999129660</f>
        <v>5930999129660</v>
      </c>
      <c r="H2949" s="46" t="s">
        <v>6844</v>
      </c>
      <c r="I2949" s="46"/>
      <c r="J2949" s="1"/>
      <c r="K2949" s="1" t="s">
        <v>21</v>
      </c>
      <c r="L2949" s="1" t="s">
        <v>6845</v>
      </c>
      <c r="M2949" s="1"/>
      <c r="N2949" s="1"/>
      <c r="O2949" s="1"/>
      <c r="P2949" s="6"/>
      <c r="Q2949" s="1"/>
      <c r="R2949" s="1"/>
      <c r="S2949" s="1"/>
      <c r="T2949" s="1"/>
      <c r="U2949" s="1"/>
      <c r="V2949" s="1"/>
      <c r="W2949" s="1"/>
      <c r="X2949" s="1"/>
      <c r="Y2949" s="1"/>
      <c r="Z2949" s="1"/>
    </row>
    <row r="2950" customFormat="false" ht="21.75" hidden="false" customHeight="true" outlineLevel="0" collapsed="false">
      <c r="A2950" s="4" t="n">
        <v>43503</v>
      </c>
      <c r="B2950" s="53" t="s">
        <v>81</v>
      </c>
      <c r="C2950" s="46" t="s">
        <v>15</v>
      </c>
      <c r="D2950" s="46" t="s">
        <v>43</v>
      </c>
      <c r="E2950" s="46" t="s">
        <v>44</v>
      </c>
      <c r="F2950" s="46" t="s">
        <v>5889</v>
      </c>
      <c r="G2950" s="46" t="n">
        <f aca="false">+5930979572633</f>
        <v>5930979572633</v>
      </c>
      <c r="H2950" s="46" t="s">
        <v>5890</v>
      </c>
      <c r="I2950" s="46"/>
      <c r="J2950" s="1"/>
      <c r="K2950" s="1" t="s">
        <v>6846</v>
      </c>
      <c r="L2950" s="1"/>
      <c r="M2950" s="1"/>
      <c r="N2950" s="1"/>
      <c r="O2950" s="1"/>
      <c r="P2950" s="6"/>
      <c r="Q2950" s="1"/>
      <c r="R2950" s="1"/>
      <c r="S2950" s="1"/>
      <c r="T2950" s="1"/>
      <c r="U2950" s="1"/>
      <c r="V2950" s="1"/>
      <c r="W2950" s="1"/>
      <c r="X2950" s="1"/>
      <c r="Y2950" s="1"/>
      <c r="Z2950" s="1"/>
    </row>
    <row r="2951" customFormat="false" ht="21.75" hidden="false" customHeight="true" outlineLevel="0" collapsed="false">
      <c r="A2951" s="4" t="n">
        <v>43503</v>
      </c>
      <c r="B2951" s="53" t="s">
        <v>166</v>
      </c>
      <c r="C2951" s="46" t="s">
        <v>15</v>
      </c>
      <c r="D2951" s="46" t="s">
        <v>16</v>
      </c>
      <c r="E2951" s="46" t="s">
        <v>17</v>
      </c>
      <c r="F2951" s="46" t="s">
        <v>6847</v>
      </c>
      <c r="G2951" s="46" t="n">
        <f aca="false">+5930982602208</f>
        <v>5930982602208</v>
      </c>
      <c r="H2951" s="46" t="s">
        <v>6848</v>
      </c>
      <c r="I2951" s="46"/>
      <c r="J2951" s="1"/>
      <c r="K2951" s="1" t="s">
        <v>6849</v>
      </c>
      <c r="L2951" s="1"/>
      <c r="M2951" s="1"/>
      <c r="N2951" s="1"/>
      <c r="O2951" s="1"/>
      <c r="P2951" s="6"/>
      <c r="Q2951" s="1"/>
      <c r="R2951" s="1"/>
      <c r="S2951" s="1"/>
      <c r="T2951" s="1"/>
      <c r="U2951" s="1"/>
      <c r="V2951" s="1"/>
      <c r="W2951" s="1"/>
      <c r="X2951" s="1"/>
      <c r="Y2951" s="1"/>
      <c r="Z2951" s="1"/>
    </row>
    <row r="2952" customFormat="false" ht="21.75" hidden="false" customHeight="true" outlineLevel="0" collapsed="false">
      <c r="A2952" s="4" t="n">
        <v>43503</v>
      </c>
      <c r="B2952" s="53" t="s">
        <v>301</v>
      </c>
      <c r="C2952" s="46" t="s">
        <v>15</v>
      </c>
      <c r="D2952" s="46" t="s">
        <v>16</v>
      </c>
      <c r="E2952" s="46" t="s">
        <v>17</v>
      </c>
      <c r="F2952" s="46" t="s">
        <v>6850</v>
      </c>
      <c r="G2952" s="46" t="n">
        <f aca="false">+593991736018</f>
        <v>593991736018</v>
      </c>
      <c r="H2952" s="46" t="s">
        <v>6851</v>
      </c>
      <c r="I2952" s="46"/>
      <c r="J2952" s="1"/>
      <c r="K2952" s="1" t="s">
        <v>3372</v>
      </c>
      <c r="L2952" s="1"/>
      <c r="M2952" s="1"/>
      <c r="N2952" s="1"/>
      <c r="O2952" s="1"/>
      <c r="P2952" s="6"/>
      <c r="Q2952" s="1"/>
      <c r="R2952" s="1"/>
      <c r="S2952" s="1"/>
      <c r="T2952" s="1"/>
      <c r="U2952" s="1"/>
      <c r="V2952" s="1"/>
      <c r="W2952" s="1"/>
      <c r="X2952" s="1"/>
      <c r="Y2952" s="1"/>
      <c r="Z2952" s="1"/>
    </row>
    <row r="2953" customFormat="false" ht="21.75" hidden="false" customHeight="true" outlineLevel="0" collapsed="false">
      <c r="A2953" s="4" t="n">
        <v>43503</v>
      </c>
      <c r="B2953" s="53" t="s">
        <v>86</v>
      </c>
      <c r="C2953" s="46" t="s">
        <v>15</v>
      </c>
      <c r="D2953" s="46" t="s">
        <v>16</v>
      </c>
      <c r="E2953" s="46" t="s">
        <v>17</v>
      </c>
      <c r="F2953" s="46" t="s">
        <v>6507</v>
      </c>
      <c r="G2953" s="46" t="n">
        <f aca="false">+593978728757</f>
        <v>593978728757</v>
      </c>
      <c r="H2953" s="46" t="s">
        <v>6852</v>
      </c>
      <c r="I2953" s="46"/>
      <c r="J2953" s="1"/>
      <c r="K2953" s="1" t="s">
        <v>3372</v>
      </c>
      <c r="L2953" s="1"/>
      <c r="M2953" s="1"/>
      <c r="N2953" s="1"/>
      <c r="O2953" s="1"/>
      <c r="P2953" s="6"/>
      <c r="Q2953" s="1"/>
      <c r="R2953" s="1"/>
      <c r="S2953" s="1"/>
      <c r="T2953" s="1"/>
      <c r="U2953" s="1"/>
      <c r="V2953" s="1"/>
      <c r="W2953" s="1"/>
      <c r="X2953" s="1"/>
      <c r="Y2953" s="1"/>
      <c r="Z2953" s="1"/>
    </row>
    <row r="2954" customFormat="false" ht="21.75" hidden="false" customHeight="true" outlineLevel="0" collapsed="false">
      <c r="A2954" s="4" t="n">
        <v>43503</v>
      </c>
      <c r="B2954" s="53" t="s">
        <v>86</v>
      </c>
      <c r="C2954" s="46" t="s">
        <v>15</v>
      </c>
      <c r="D2954" s="46" t="s">
        <v>16</v>
      </c>
      <c r="E2954" s="46" t="s">
        <v>17</v>
      </c>
      <c r="F2954" s="46" t="s">
        <v>6644</v>
      </c>
      <c r="G2954" s="46" t="n">
        <f aca="false">+5930993675447</f>
        <v>5930993675447</v>
      </c>
      <c r="H2954" s="46" t="s">
        <v>6645</v>
      </c>
      <c r="I2954" s="46"/>
      <c r="J2954" s="1"/>
      <c r="K2954" s="1" t="s">
        <v>6853</v>
      </c>
      <c r="L2954" s="1"/>
      <c r="M2954" s="1"/>
      <c r="N2954" s="1"/>
      <c r="O2954" s="1"/>
      <c r="P2954" s="6"/>
      <c r="Q2954" s="1"/>
      <c r="R2954" s="1"/>
      <c r="S2954" s="1"/>
      <c r="T2954" s="1"/>
      <c r="U2954" s="1"/>
      <c r="V2954" s="1"/>
      <c r="W2954" s="1"/>
      <c r="X2954" s="1"/>
      <c r="Y2954" s="1"/>
      <c r="Z2954" s="1"/>
    </row>
    <row r="2955" customFormat="false" ht="21.75" hidden="false" customHeight="true" outlineLevel="0" collapsed="false">
      <c r="A2955" s="4" t="n">
        <v>43503</v>
      </c>
      <c r="B2955" s="53" t="s">
        <v>108</v>
      </c>
      <c r="C2955" s="46" t="s">
        <v>15</v>
      </c>
      <c r="D2955" s="46" t="s">
        <v>16</v>
      </c>
      <c r="E2955" s="46" t="s">
        <v>109</v>
      </c>
      <c r="F2955" s="46" t="s">
        <v>6854</v>
      </c>
      <c r="G2955" s="46" t="n">
        <f aca="false">+593984924287</f>
        <v>593984924287</v>
      </c>
      <c r="H2955" s="46" t="s">
        <v>6855</v>
      </c>
      <c r="I2955" s="46"/>
      <c r="J2955" s="1"/>
      <c r="K2955" s="1" t="s">
        <v>3372</v>
      </c>
      <c r="L2955" s="1"/>
      <c r="M2955" s="1"/>
      <c r="N2955" s="1"/>
      <c r="O2955" s="1"/>
      <c r="P2955" s="6"/>
      <c r="Q2955" s="1"/>
      <c r="R2955" s="1"/>
      <c r="S2955" s="1"/>
      <c r="T2955" s="1"/>
      <c r="U2955" s="1"/>
      <c r="V2955" s="1"/>
      <c r="W2955" s="1"/>
      <c r="X2955" s="1"/>
      <c r="Y2955" s="1"/>
      <c r="Z2955" s="1"/>
    </row>
    <row r="2956" customFormat="false" ht="21.75" hidden="false" customHeight="true" outlineLevel="0" collapsed="false">
      <c r="A2956" s="4" t="n">
        <v>43503</v>
      </c>
      <c r="B2956" s="53" t="s">
        <v>14</v>
      </c>
      <c r="C2956" s="46" t="s">
        <v>15</v>
      </c>
      <c r="D2956" s="46" t="s">
        <v>16</v>
      </c>
      <c r="E2956" s="46" t="s">
        <v>17</v>
      </c>
      <c r="F2956" s="46" t="s">
        <v>6856</v>
      </c>
      <c r="G2956" s="46" t="n">
        <f aca="false">+593983551648</f>
        <v>593983551648</v>
      </c>
      <c r="H2956" s="46" t="s">
        <v>6857</v>
      </c>
      <c r="I2956" s="46"/>
      <c r="J2956" s="1"/>
      <c r="K2956" s="1" t="s">
        <v>3372</v>
      </c>
      <c r="L2956" s="1"/>
      <c r="M2956" s="1"/>
      <c r="N2956" s="1"/>
      <c r="O2956" s="1"/>
      <c r="P2956" s="6"/>
      <c r="Q2956" s="1"/>
      <c r="R2956" s="1"/>
      <c r="S2956" s="1"/>
      <c r="T2956" s="1"/>
      <c r="U2956" s="1"/>
      <c r="V2956" s="1"/>
      <c r="W2956" s="1"/>
      <c r="X2956" s="1"/>
      <c r="Y2956" s="1"/>
      <c r="Z2956" s="1"/>
    </row>
    <row r="2957" customFormat="false" ht="21.75" hidden="false" customHeight="true" outlineLevel="0" collapsed="false">
      <c r="A2957" s="4" t="n">
        <v>43503</v>
      </c>
      <c r="B2957" s="53" t="s">
        <v>14</v>
      </c>
      <c r="C2957" s="46" t="s">
        <v>15</v>
      </c>
      <c r="D2957" s="46" t="s">
        <v>16</v>
      </c>
      <c r="E2957" s="46" t="s">
        <v>17</v>
      </c>
      <c r="F2957" s="46" t="s">
        <v>6858</v>
      </c>
      <c r="G2957" s="46" t="n">
        <f aca="false">+593995432909</f>
        <v>593995432909</v>
      </c>
      <c r="H2957" s="46" t="s">
        <v>6859</v>
      </c>
      <c r="I2957" s="46"/>
      <c r="J2957" s="1"/>
      <c r="K2957" s="1" t="s">
        <v>6860</v>
      </c>
      <c r="L2957" s="1"/>
      <c r="M2957" s="1"/>
      <c r="N2957" s="1"/>
      <c r="O2957" s="1"/>
      <c r="P2957" s="6"/>
      <c r="Q2957" s="1"/>
      <c r="R2957" s="1"/>
      <c r="S2957" s="1"/>
      <c r="T2957" s="1"/>
      <c r="U2957" s="1"/>
      <c r="V2957" s="1"/>
      <c r="W2957" s="1"/>
      <c r="X2957" s="1"/>
      <c r="Y2957" s="1"/>
      <c r="Z2957" s="1"/>
    </row>
    <row r="2958" customFormat="false" ht="21.75" hidden="false" customHeight="true" outlineLevel="0" collapsed="false">
      <c r="A2958" s="4" t="n">
        <v>43503</v>
      </c>
      <c r="B2958" s="53" t="s">
        <v>14</v>
      </c>
      <c r="C2958" s="46" t="s">
        <v>15</v>
      </c>
      <c r="D2958" s="46" t="s">
        <v>16</v>
      </c>
      <c r="E2958" s="46" t="s">
        <v>17</v>
      </c>
      <c r="F2958" s="46" t="s">
        <v>6861</v>
      </c>
      <c r="G2958" s="46" t="n">
        <f aca="false">+593959107858</f>
        <v>593959107858</v>
      </c>
      <c r="H2958" s="46" t="s">
        <v>6862</v>
      </c>
      <c r="I2958" s="46"/>
      <c r="J2958" s="1"/>
      <c r="K2958" s="1" t="s">
        <v>3372</v>
      </c>
      <c r="L2958" s="1"/>
      <c r="M2958" s="1"/>
      <c r="N2958" s="1"/>
      <c r="O2958" s="1"/>
      <c r="P2958" s="6"/>
      <c r="Q2958" s="1"/>
      <c r="R2958" s="1"/>
      <c r="S2958" s="1"/>
      <c r="T2958" s="1"/>
      <c r="U2958" s="1"/>
      <c r="V2958" s="1"/>
      <c r="W2958" s="1"/>
      <c r="X2958" s="1"/>
      <c r="Y2958" s="1"/>
      <c r="Z2958" s="1"/>
    </row>
    <row r="2959" customFormat="false" ht="21.75" hidden="false" customHeight="true" outlineLevel="0" collapsed="false">
      <c r="A2959" s="4" t="n">
        <v>43503</v>
      </c>
      <c r="B2959" s="53" t="s">
        <v>14</v>
      </c>
      <c r="C2959" s="46" t="s">
        <v>15</v>
      </c>
      <c r="D2959" s="46" t="s">
        <v>16</v>
      </c>
      <c r="E2959" s="46" t="s">
        <v>17</v>
      </c>
      <c r="F2959" s="46" t="s">
        <v>6863</v>
      </c>
      <c r="G2959" s="46" t="n">
        <f aca="false">+5930967048844</f>
        <v>5930967048844</v>
      </c>
      <c r="H2959" s="46" t="s">
        <v>6864</v>
      </c>
      <c r="I2959" s="46"/>
      <c r="J2959" s="1"/>
      <c r="K2959" s="1" t="s">
        <v>3372</v>
      </c>
      <c r="L2959" s="1"/>
      <c r="M2959" s="1"/>
      <c r="N2959" s="1"/>
      <c r="O2959" s="1"/>
      <c r="P2959" s="6"/>
      <c r="Q2959" s="1"/>
      <c r="R2959" s="1"/>
      <c r="S2959" s="1"/>
      <c r="T2959" s="1"/>
      <c r="U2959" s="1"/>
      <c r="V2959" s="1"/>
      <c r="W2959" s="1"/>
      <c r="X2959" s="1"/>
      <c r="Y2959" s="1"/>
      <c r="Z2959" s="1"/>
    </row>
    <row r="2960" customFormat="false" ht="21.75" hidden="false" customHeight="true" outlineLevel="0" collapsed="false">
      <c r="A2960" s="4" t="n">
        <v>43503</v>
      </c>
      <c r="B2960" s="53" t="s">
        <v>161</v>
      </c>
      <c r="C2960" s="46" t="s">
        <v>15</v>
      </c>
      <c r="D2960" s="46" t="s">
        <v>16</v>
      </c>
      <c r="E2960" s="46" t="s">
        <v>17</v>
      </c>
      <c r="F2960" s="46" t="s">
        <v>6865</v>
      </c>
      <c r="G2960" s="46" t="n">
        <f aca="false">+593987756160</f>
        <v>593987756160</v>
      </c>
      <c r="H2960" s="46" t="s">
        <v>6866</v>
      </c>
      <c r="I2960" s="46"/>
      <c r="J2960" s="1"/>
      <c r="K2960" s="1" t="s">
        <v>3372</v>
      </c>
      <c r="L2960" s="1"/>
      <c r="M2960" s="1"/>
      <c r="N2960" s="1"/>
      <c r="O2960" s="1"/>
      <c r="P2960" s="6"/>
      <c r="Q2960" s="1"/>
      <c r="R2960" s="1"/>
      <c r="S2960" s="1"/>
      <c r="T2960" s="1"/>
      <c r="U2960" s="1"/>
      <c r="V2960" s="1"/>
      <c r="W2960" s="1"/>
      <c r="X2960" s="1"/>
      <c r="Y2960" s="1"/>
      <c r="Z2960" s="1"/>
    </row>
    <row r="2961" customFormat="false" ht="21.75" hidden="false" customHeight="true" outlineLevel="0" collapsed="false">
      <c r="A2961" s="4" t="n">
        <v>43503</v>
      </c>
      <c r="B2961" s="53" t="s">
        <v>286</v>
      </c>
      <c r="C2961" s="46" t="s">
        <v>15</v>
      </c>
      <c r="D2961" s="46" t="s">
        <v>16</v>
      </c>
      <c r="E2961" s="46" t="s">
        <v>17</v>
      </c>
      <c r="F2961" s="46" t="s">
        <v>6867</v>
      </c>
      <c r="G2961" s="46" t="n">
        <f aca="false">+593968759271</f>
        <v>593968759271</v>
      </c>
      <c r="H2961" s="46" t="s">
        <v>6868</v>
      </c>
      <c r="I2961" s="46"/>
      <c r="J2961" s="1"/>
      <c r="K2961" s="1" t="s">
        <v>6869</v>
      </c>
      <c r="L2961" s="1"/>
      <c r="M2961" s="1"/>
      <c r="N2961" s="1"/>
      <c r="O2961" s="1"/>
      <c r="P2961" s="6"/>
      <c r="Q2961" s="1"/>
      <c r="R2961" s="1"/>
      <c r="S2961" s="1"/>
      <c r="T2961" s="1"/>
      <c r="U2961" s="1"/>
      <c r="V2961" s="1"/>
      <c r="W2961" s="1"/>
      <c r="X2961" s="1"/>
      <c r="Y2961" s="1"/>
      <c r="Z2961" s="1"/>
    </row>
    <row r="2962" customFormat="false" ht="21.75" hidden="false" customHeight="true" outlineLevel="0" collapsed="false">
      <c r="A2962" s="4" t="n">
        <v>43503</v>
      </c>
      <c r="B2962" s="53" t="s">
        <v>48</v>
      </c>
      <c r="C2962" s="46" t="s">
        <v>15</v>
      </c>
      <c r="D2962" s="52" t="s">
        <v>43</v>
      </c>
      <c r="E2962" s="52" t="s">
        <v>44</v>
      </c>
      <c r="F2962" s="50" t="s">
        <v>6870</v>
      </c>
      <c r="G2962" s="51" t="n">
        <v>969054708</v>
      </c>
      <c r="H2962" s="52" t="s">
        <v>6871</v>
      </c>
      <c r="I2962" s="52"/>
      <c r="J2962" s="1"/>
      <c r="K2962" s="1" t="s">
        <v>1156</v>
      </c>
      <c r="L2962" s="1" t="s">
        <v>6586</v>
      </c>
      <c r="M2962" s="1"/>
      <c r="N2962" s="1"/>
      <c r="O2962" s="1"/>
      <c r="P2962" s="6"/>
      <c r="Q2962" s="1"/>
      <c r="R2962" s="1"/>
      <c r="S2962" s="1"/>
      <c r="T2962" s="1"/>
      <c r="U2962" s="1"/>
      <c r="V2962" s="1"/>
      <c r="W2962" s="1"/>
      <c r="X2962" s="1"/>
      <c r="Y2962" s="1"/>
      <c r="Z2962" s="1"/>
    </row>
    <row r="2963" customFormat="false" ht="21.75" hidden="false" customHeight="true" outlineLevel="0" collapsed="false">
      <c r="A2963" s="4" t="n">
        <v>43503</v>
      </c>
      <c r="B2963" s="53" t="s">
        <v>48</v>
      </c>
      <c r="C2963" s="46" t="s">
        <v>15</v>
      </c>
      <c r="D2963" s="52" t="s">
        <v>43</v>
      </c>
      <c r="E2963" s="52" t="s">
        <v>109</v>
      </c>
      <c r="F2963" s="50" t="s">
        <v>6872</v>
      </c>
      <c r="G2963" s="51" t="n">
        <v>996534814</v>
      </c>
      <c r="H2963" s="52" t="s">
        <v>6873</v>
      </c>
      <c r="I2963" s="52"/>
      <c r="J2963" s="1"/>
      <c r="K2963" s="1" t="s">
        <v>1156</v>
      </c>
      <c r="L2963" s="1" t="s">
        <v>1156</v>
      </c>
      <c r="M2963" s="1"/>
      <c r="N2963" s="1"/>
      <c r="O2963" s="1"/>
      <c r="P2963" s="6"/>
      <c r="Q2963" s="1"/>
      <c r="R2963" s="1"/>
      <c r="S2963" s="1"/>
      <c r="T2963" s="1"/>
      <c r="U2963" s="1"/>
      <c r="V2963" s="1"/>
      <c r="W2963" s="1"/>
      <c r="X2963" s="1"/>
      <c r="Y2963" s="1"/>
      <c r="Z2963" s="1"/>
    </row>
    <row r="2964" customFormat="false" ht="21.75" hidden="false" customHeight="true" outlineLevel="0" collapsed="false">
      <c r="A2964" s="4" t="n">
        <v>43503</v>
      </c>
      <c r="B2964" s="53" t="s">
        <v>48</v>
      </c>
      <c r="C2964" s="46" t="s">
        <v>15</v>
      </c>
      <c r="D2964" s="52" t="s">
        <v>43</v>
      </c>
      <c r="E2964" s="52" t="s">
        <v>109</v>
      </c>
      <c r="F2964" s="50" t="s">
        <v>6874</v>
      </c>
      <c r="G2964" s="52"/>
      <c r="H2964" s="52" t="s">
        <v>6875</v>
      </c>
      <c r="I2964" s="52"/>
      <c r="J2964" s="1"/>
      <c r="K2964" s="1" t="s">
        <v>6427</v>
      </c>
      <c r="L2964" s="1"/>
      <c r="M2964" s="1"/>
      <c r="N2964" s="1"/>
      <c r="O2964" s="1"/>
      <c r="P2964" s="6"/>
      <c r="Q2964" s="1"/>
      <c r="R2964" s="1"/>
      <c r="S2964" s="1"/>
      <c r="T2964" s="1"/>
      <c r="U2964" s="1"/>
      <c r="V2964" s="1"/>
      <c r="W2964" s="1"/>
      <c r="X2964" s="1"/>
      <c r="Y2964" s="1"/>
      <c r="Z2964" s="1"/>
    </row>
    <row r="2965" customFormat="false" ht="21.75" hidden="false" customHeight="true" outlineLevel="0" collapsed="false">
      <c r="A2965" s="4" t="n">
        <v>43503</v>
      </c>
      <c r="B2965" s="53" t="s">
        <v>48</v>
      </c>
      <c r="C2965" s="46" t="s">
        <v>15</v>
      </c>
      <c r="D2965" s="52" t="s">
        <v>43</v>
      </c>
      <c r="E2965" s="52" t="s">
        <v>109</v>
      </c>
      <c r="F2965" s="50" t="s">
        <v>1563</v>
      </c>
      <c r="G2965" s="51" t="n">
        <v>997979314</v>
      </c>
      <c r="H2965" s="52" t="s">
        <v>1564</v>
      </c>
      <c r="I2965" s="52"/>
      <c r="J2965" s="1"/>
      <c r="K2965" s="1" t="s">
        <v>6876</v>
      </c>
      <c r="L2965" s="1"/>
      <c r="M2965" s="1"/>
      <c r="N2965" s="1"/>
      <c r="O2965" s="1"/>
      <c r="P2965" s="6"/>
      <c r="Q2965" s="1"/>
      <c r="R2965" s="1"/>
      <c r="S2965" s="1"/>
      <c r="T2965" s="1"/>
      <c r="U2965" s="1"/>
      <c r="V2965" s="1"/>
      <c r="W2965" s="1"/>
      <c r="X2965" s="1"/>
      <c r="Y2965" s="1"/>
      <c r="Z2965" s="1"/>
    </row>
    <row r="2966" customFormat="false" ht="21.75" hidden="false" customHeight="true" outlineLevel="0" collapsed="false">
      <c r="A2966" s="4" t="n">
        <v>43503</v>
      </c>
      <c r="B2966" s="53" t="s">
        <v>1114</v>
      </c>
      <c r="C2966" s="46" t="s">
        <v>15</v>
      </c>
      <c r="D2966" s="52" t="s">
        <v>43</v>
      </c>
      <c r="E2966" s="52" t="s">
        <v>109</v>
      </c>
      <c r="F2966" s="50" t="s">
        <v>6877</v>
      </c>
      <c r="G2966" s="51" t="n">
        <v>963003936</v>
      </c>
      <c r="H2966" s="52" t="s">
        <v>6878</v>
      </c>
      <c r="I2966" s="52"/>
      <c r="J2966" s="1"/>
      <c r="K2966" s="1" t="s">
        <v>1156</v>
      </c>
      <c r="L2966" s="1" t="s">
        <v>1156</v>
      </c>
      <c r="M2966" s="1"/>
      <c r="N2966" s="1"/>
      <c r="O2966" s="1"/>
      <c r="P2966" s="6"/>
      <c r="Q2966" s="1"/>
      <c r="R2966" s="1"/>
      <c r="S2966" s="1"/>
      <c r="T2966" s="1"/>
      <c r="U2966" s="1"/>
      <c r="V2966" s="1"/>
      <c r="W2966" s="1"/>
      <c r="X2966" s="1"/>
      <c r="Y2966" s="1"/>
      <c r="Z2966" s="1"/>
    </row>
    <row r="2967" customFormat="false" ht="21.75" hidden="false" customHeight="true" outlineLevel="0" collapsed="false">
      <c r="A2967" s="4" t="n">
        <v>43503</v>
      </c>
      <c r="B2967" s="53" t="s">
        <v>48</v>
      </c>
      <c r="C2967" s="46" t="s">
        <v>15</v>
      </c>
      <c r="D2967" s="52" t="s">
        <v>43</v>
      </c>
      <c r="E2967" s="52" t="s">
        <v>109</v>
      </c>
      <c r="F2967" s="50" t="s">
        <v>6879</v>
      </c>
      <c r="G2967" s="51" t="n">
        <v>980027254</v>
      </c>
      <c r="H2967" s="52" t="s">
        <v>6880</v>
      </c>
      <c r="I2967" s="52"/>
      <c r="J2967" s="1"/>
      <c r="K2967" s="1" t="s">
        <v>6876</v>
      </c>
      <c r="L2967" s="1"/>
      <c r="M2967" s="1"/>
      <c r="N2967" s="1"/>
      <c r="O2967" s="1"/>
      <c r="P2967" s="6"/>
      <c r="Q2967" s="1"/>
      <c r="R2967" s="1"/>
      <c r="S2967" s="1"/>
      <c r="T2967" s="1"/>
      <c r="U2967" s="1"/>
      <c r="V2967" s="1"/>
      <c r="W2967" s="1"/>
      <c r="X2967" s="1"/>
      <c r="Y2967" s="1"/>
      <c r="Z2967" s="1"/>
    </row>
    <row r="2968" customFormat="false" ht="21.75" hidden="false" customHeight="true" outlineLevel="0" collapsed="false">
      <c r="A2968" s="4" t="n">
        <v>43503</v>
      </c>
      <c r="B2968" s="53" t="s">
        <v>48</v>
      </c>
      <c r="C2968" s="46" t="s">
        <v>15</v>
      </c>
      <c r="D2968" s="52" t="s">
        <v>43</v>
      </c>
      <c r="E2968" s="52" t="s">
        <v>109</v>
      </c>
      <c r="F2968" s="50" t="s">
        <v>6195</v>
      </c>
      <c r="G2968" s="51" t="n">
        <v>982895255</v>
      </c>
      <c r="H2968" s="52" t="s">
        <v>6196</v>
      </c>
      <c r="I2968" s="52"/>
      <c r="J2968" s="1"/>
      <c r="K2968" s="1" t="s">
        <v>1156</v>
      </c>
      <c r="L2968" s="1" t="s">
        <v>6744</v>
      </c>
      <c r="M2968" s="1"/>
      <c r="N2968" s="1"/>
      <c r="O2968" s="1"/>
      <c r="P2968" s="6"/>
      <c r="Q2968" s="1"/>
      <c r="R2968" s="1"/>
      <c r="S2968" s="1"/>
      <c r="T2968" s="1"/>
      <c r="U2968" s="1"/>
      <c r="V2968" s="1"/>
      <c r="W2968" s="1"/>
      <c r="X2968" s="1"/>
      <c r="Y2968" s="1"/>
      <c r="Z2968" s="1"/>
    </row>
    <row r="2969" customFormat="false" ht="21.75" hidden="false" customHeight="true" outlineLevel="0" collapsed="false">
      <c r="A2969" s="4" t="n">
        <v>43503</v>
      </c>
      <c r="B2969" s="53" t="s">
        <v>48</v>
      </c>
      <c r="C2969" s="46" t="s">
        <v>15</v>
      </c>
      <c r="D2969" s="52" t="s">
        <v>43</v>
      </c>
      <c r="E2969" s="52" t="s">
        <v>109</v>
      </c>
      <c r="F2969" s="52" t="s">
        <v>6881</v>
      </c>
      <c r="G2969" s="51" t="n">
        <v>980390595</v>
      </c>
      <c r="H2969" s="52"/>
      <c r="I2969" s="52"/>
      <c r="J2969" s="1"/>
      <c r="K2969" s="1" t="s">
        <v>1149</v>
      </c>
      <c r="L2969" s="1" t="s">
        <v>6586</v>
      </c>
      <c r="M2969" s="1"/>
      <c r="N2969" s="1"/>
      <c r="O2969" s="1"/>
      <c r="P2969" s="6"/>
      <c r="Q2969" s="1"/>
      <c r="R2969" s="1"/>
      <c r="S2969" s="1"/>
      <c r="T2969" s="1"/>
      <c r="U2969" s="1"/>
      <c r="V2969" s="1"/>
      <c r="W2969" s="1"/>
      <c r="X2969" s="1"/>
      <c r="Y2969" s="1"/>
      <c r="Z2969" s="1"/>
    </row>
    <row r="2970" customFormat="false" ht="21.75" hidden="false" customHeight="true" outlineLevel="0" collapsed="false">
      <c r="A2970" s="4" t="n">
        <v>43503</v>
      </c>
      <c r="B2970" s="53" t="s">
        <v>178</v>
      </c>
      <c r="C2970" s="46" t="s">
        <v>15</v>
      </c>
      <c r="D2970" s="52" t="s">
        <v>43</v>
      </c>
      <c r="E2970" s="52" t="s">
        <v>109</v>
      </c>
      <c r="F2970" s="50" t="s">
        <v>6882</v>
      </c>
      <c r="G2970" s="51" t="n">
        <v>983792431</v>
      </c>
      <c r="H2970" s="52" t="s">
        <v>6883</v>
      </c>
      <c r="I2970" s="52"/>
      <c r="J2970" s="1"/>
      <c r="K2970" s="1" t="s">
        <v>21</v>
      </c>
      <c r="L2970" s="1" t="s">
        <v>1156</v>
      </c>
      <c r="M2970" s="1"/>
      <c r="N2970" s="1"/>
      <c r="O2970" s="1"/>
      <c r="P2970" s="6"/>
      <c r="Q2970" s="1"/>
      <c r="R2970" s="1"/>
      <c r="S2970" s="1"/>
      <c r="T2970" s="1"/>
      <c r="U2970" s="1"/>
      <c r="V2970" s="1"/>
      <c r="W2970" s="1"/>
      <c r="X2970" s="1"/>
      <c r="Y2970" s="1"/>
      <c r="Z2970" s="1"/>
    </row>
    <row r="2971" customFormat="false" ht="21.75" hidden="false" customHeight="true" outlineLevel="0" collapsed="false">
      <c r="A2971" s="4" t="n">
        <v>43503</v>
      </c>
      <c r="B2971" s="53" t="s">
        <v>286</v>
      </c>
      <c r="C2971" s="46" t="s">
        <v>15</v>
      </c>
      <c r="D2971" s="52" t="s">
        <v>16</v>
      </c>
      <c r="E2971" s="52" t="s">
        <v>17</v>
      </c>
      <c r="F2971" s="50" t="s">
        <v>6884</v>
      </c>
      <c r="G2971" s="51" t="n">
        <v>991561296</v>
      </c>
      <c r="H2971" s="52" t="s">
        <v>6885</v>
      </c>
      <c r="I2971" s="52"/>
      <c r="J2971" s="1"/>
      <c r="K2971" s="1" t="s">
        <v>3372</v>
      </c>
      <c r="L2971" s="1" t="s">
        <v>6886</v>
      </c>
      <c r="M2971" s="1"/>
      <c r="N2971" s="1"/>
      <c r="O2971" s="1"/>
      <c r="P2971" s="6"/>
      <c r="Q2971" s="1"/>
      <c r="R2971" s="1"/>
      <c r="S2971" s="1"/>
      <c r="T2971" s="1"/>
      <c r="U2971" s="1"/>
      <c r="V2971" s="1"/>
      <c r="W2971" s="1"/>
      <c r="X2971" s="1"/>
      <c r="Y2971" s="1"/>
      <c r="Z2971" s="1"/>
    </row>
    <row r="2972" customFormat="false" ht="21.75" hidden="false" customHeight="true" outlineLevel="0" collapsed="false">
      <c r="A2972" s="4" t="n">
        <v>43503</v>
      </c>
      <c r="B2972" s="53" t="s">
        <v>48</v>
      </c>
      <c r="C2972" s="46" t="s">
        <v>15</v>
      </c>
      <c r="D2972" s="52" t="s">
        <v>43</v>
      </c>
      <c r="E2972" s="52" t="s">
        <v>109</v>
      </c>
      <c r="F2972" s="50" t="s">
        <v>6887</v>
      </c>
      <c r="G2972" s="51" t="n">
        <v>990573314</v>
      </c>
      <c r="H2972" s="52" t="s">
        <v>6888</v>
      </c>
      <c r="I2972" s="52"/>
      <c r="J2972" s="1"/>
      <c r="K2972" s="1" t="s">
        <v>21</v>
      </c>
      <c r="L2972" s="1" t="s">
        <v>6889</v>
      </c>
      <c r="M2972" s="1"/>
      <c r="N2972" s="1"/>
      <c r="O2972" s="1"/>
      <c r="P2972" s="6"/>
      <c r="Q2972" s="1"/>
      <c r="R2972" s="1"/>
      <c r="S2972" s="1"/>
      <c r="T2972" s="1"/>
      <c r="U2972" s="1"/>
      <c r="V2972" s="1"/>
      <c r="W2972" s="1"/>
      <c r="X2972" s="1"/>
      <c r="Y2972" s="1"/>
      <c r="Z2972" s="1"/>
    </row>
    <row r="2973" customFormat="false" ht="21.75" hidden="false" customHeight="true" outlineLevel="0" collapsed="false">
      <c r="A2973" s="4" t="n">
        <v>43503</v>
      </c>
      <c r="B2973" s="53" t="s">
        <v>48</v>
      </c>
      <c r="C2973" s="46" t="s">
        <v>15</v>
      </c>
      <c r="D2973" s="52" t="s">
        <v>43</v>
      </c>
      <c r="E2973" s="52" t="s">
        <v>109</v>
      </c>
      <c r="F2973" s="52" t="s">
        <v>6890</v>
      </c>
      <c r="G2973" s="51" t="n">
        <v>981718109</v>
      </c>
      <c r="H2973" s="52" t="s">
        <v>6891</v>
      </c>
      <c r="I2973" s="52"/>
      <c r="J2973" s="1"/>
      <c r="K2973" s="1" t="s">
        <v>21</v>
      </c>
      <c r="L2973" s="1" t="s">
        <v>1156</v>
      </c>
      <c r="M2973" s="1"/>
      <c r="N2973" s="1"/>
      <c r="O2973" s="1"/>
      <c r="P2973" s="6"/>
      <c r="Q2973" s="1"/>
      <c r="R2973" s="1"/>
      <c r="S2973" s="1"/>
      <c r="T2973" s="1"/>
      <c r="U2973" s="1"/>
      <c r="V2973" s="1"/>
      <c r="W2973" s="1"/>
      <c r="X2973" s="1"/>
      <c r="Y2973" s="1"/>
      <c r="Z2973" s="1"/>
    </row>
    <row r="2974" customFormat="false" ht="21.75" hidden="false" customHeight="true" outlineLevel="0" collapsed="false">
      <c r="A2974" s="4" t="n">
        <v>43503</v>
      </c>
      <c r="B2974" s="53" t="s">
        <v>48</v>
      </c>
      <c r="C2974" s="46" t="s">
        <v>15</v>
      </c>
      <c r="D2974" s="52" t="s">
        <v>43</v>
      </c>
      <c r="E2974" s="52" t="s">
        <v>109</v>
      </c>
      <c r="F2974" s="50" t="s">
        <v>6892</v>
      </c>
      <c r="G2974" s="51" t="n">
        <v>989627070</v>
      </c>
      <c r="H2974" s="50"/>
      <c r="I2974" s="50"/>
      <c r="J2974" s="1"/>
      <c r="K2974" s="1" t="s">
        <v>1766</v>
      </c>
      <c r="L2974" s="1"/>
      <c r="M2974" s="1"/>
      <c r="N2974" s="1"/>
      <c r="O2974" s="1"/>
      <c r="P2974" s="6"/>
      <c r="Q2974" s="1"/>
      <c r="R2974" s="1"/>
      <c r="S2974" s="1"/>
      <c r="T2974" s="1"/>
      <c r="U2974" s="1"/>
      <c r="V2974" s="1"/>
      <c r="W2974" s="1"/>
      <c r="X2974" s="1"/>
      <c r="Y2974" s="1"/>
      <c r="Z2974" s="1"/>
    </row>
    <row r="2975" customFormat="false" ht="21.75" hidden="false" customHeight="true" outlineLevel="0" collapsed="false">
      <c r="A2975" s="4" t="n">
        <v>43503</v>
      </c>
      <c r="B2975" s="53" t="s">
        <v>48</v>
      </c>
      <c r="C2975" s="46" t="s">
        <v>15</v>
      </c>
      <c r="D2975" s="52" t="s">
        <v>43</v>
      </c>
      <c r="E2975" s="52" t="s">
        <v>109</v>
      </c>
      <c r="F2975" s="50" t="s">
        <v>6893</v>
      </c>
      <c r="G2975" s="51" t="n">
        <v>987691359</v>
      </c>
      <c r="H2975" s="52"/>
      <c r="I2975" s="52"/>
      <c r="J2975" s="1"/>
      <c r="K2975" s="1" t="s">
        <v>21</v>
      </c>
      <c r="L2975" s="1" t="s">
        <v>21</v>
      </c>
      <c r="M2975" s="1"/>
      <c r="N2975" s="1"/>
      <c r="O2975" s="1"/>
      <c r="P2975" s="6"/>
      <c r="Q2975" s="1"/>
      <c r="R2975" s="1"/>
      <c r="S2975" s="1"/>
      <c r="T2975" s="1"/>
      <c r="U2975" s="1"/>
      <c r="V2975" s="1"/>
      <c r="W2975" s="1"/>
      <c r="X2975" s="1"/>
      <c r="Y2975" s="1"/>
      <c r="Z2975" s="1"/>
    </row>
    <row r="2976" customFormat="false" ht="21.75" hidden="false" customHeight="true" outlineLevel="0" collapsed="false">
      <c r="A2976" s="4" t="n">
        <v>43503</v>
      </c>
      <c r="B2976" s="53" t="s">
        <v>48</v>
      </c>
      <c r="C2976" s="46" t="s">
        <v>15</v>
      </c>
      <c r="D2976" s="52" t="s">
        <v>43</v>
      </c>
      <c r="E2976" s="52" t="s">
        <v>109</v>
      </c>
      <c r="F2976" s="50" t="s">
        <v>6894</v>
      </c>
      <c r="G2976" s="51" t="n">
        <v>980772336</v>
      </c>
      <c r="H2976" s="52"/>
      <c r="I2976" s="52"/>
      <c r="J2976" s="1"/>
      <c r="K2976" s="1" t="s">
        <v>6895</v>
      </c>
      <c r="L2976" s="1"/>
      <c r="M2976" s="1"/>
      <c r="N2976" s="1"/>
      <c r="O2976" s="1"/>
      <c r="P2976" s="6"/>
      <c r="Q2976" s="1"/>
      <c r="R2976" s="1"/>
      <c r="S2976" s="1"/>
      <c r="T2976" s="1"/>
      <c r="U2976" s="1"/>
      <c r="V2976" s="1"/>
      <c r="W2976" s="1"/>
      <c r="X2976" s="1"/>
      <c r="Y2976" s="1"/>
      <c r="Z2976" s="1"/>
    </row>
    <row r="2977" customFormat="false" ht="21.75" hidden="false" customHeight="true" outlineLevel="0" collapsed="false">
      <c r="A2977" s="4" t="n">
        <v>43503</v>
      </c>
      <c r="B2977" s="53" t="s">
        <v>48</v>
      </c>
      <c r="C2977" s="46" t="s">
        <v>15</v>
      </c>
      <c r="D2977" s="52" t="s">
        <v>43</v>
      </c>
      <c r="E2977" s="52" t="s">
        <v>44</v>
      </c>
      <c r="F2977" s="50" t="s">
        <v>6896</v>
      </c>
      <c r="G2977" s="51" t="n">
        <v>983107967</v>
      </c>
      <c r="H2977" s="52" t="s">
        <v>6897</v>
      </c>
      <c r="I2977" s="52"/>
      <c r="J2977" s="1"/>
      <c r="K2977" s="1" t="s">
        <v>21</v>
      </c>
      <c r="L2977" s="1" t="s">
        <v>6898</v>
      </c>
      <c r="M2977" s="1"/>
      <c r="N2977" s="1"/>
      <c r="O2977" s="1"/>
      <c r="P2977" s="6"/>
      <c r="Q2977" s="1"/>
      <c r="R2977" s="1"/>
      <c r="S2977" s="1"/>
      <c r="T2977" s="1"/>
      <c r="U2977" s="1"/>
      <c r="V2977" s="1"/>
      <c r="W2977" s="1"/>
      <c r="X2977" s="1"/>
      <c r="Y2977" s="1"/>
      <c r="Z2977" s="1"/>
    </row>
    <row r="2978" customFormat="false" ht="21.75" hidden="false" customHeight="true" outlineLevel="0" collapsed="false">
      <c r="A2978" s="4" t="n">
        <v>43503</v>
      </c>
      <c r="B2978" s="53" t="s">
        <v>48</v>
      </c>
      <c r="C2978" s="46" t="s">
        <v>15</v>
      </c>
      <c r="D2978" s="52" t="s">
        <v>43</v>
      </c>
      <c r="E2978" s="52" t="s">
        <v>109</v>
      </c>
      <c r="F2978" s="50" t="s">
        <v>6899</v>
      </c>
      <c r="G2978" s="51" t="n">
        <v>969329196</v>
      </c>
      <c r="H2978" s="52" t="s">
        <v>6900</v>
      </c>
      <c r="I2978" s="52"/>
      <c r="J2978" s="1"/>
      <c r="K2978" s="1" t="s">
        <v>21</v>
      </c>
      <c r="L2978" s="1" t="s">
        <v>6901</v>
      </c>
      <c r="M2978" s="1"/>
      <c r="N2978" s="1"/>
      <c r="O2978" s="1"/>
      <c r="P2978" s="6"/>
      <c r="Q2978" s="1"/>
      <c r="R2978" s="1"/>
      <c r="S2978" s="1"/>
      <c r="T2978" s="1"/>
      <c r="U2978" s="1"/>
      <c r="V2978" s="1"/>
      <c r="W2978" s="1"/>
      <c r="X2978" s="1"/>
      <c r="Y2978" s="1"/>
      <c r="Z2978" s="1"/>
    </row>
    <row r="2979" customFormat="false" ht="21.75" hidden="false" customHeight="true" outlineLevel="0" collapsed="false">
      <c r="A2979" s="4" t="n">
        <v>43503</v>
      </c>
      <c r="B2979" s="53" t="s">
        <v>48</v>
      </c>
      <c r="C2979" s="46" t="s">
        <v>15</v>
      </c>
      <c r="D2979" s="52" t="s">
        <v>43</v>
      </c>
      <c r="E2979" s="52" t="s">
        <v>109</v>
      </c>
      <c r="F2979" s="50" t="s">
        <v>6902</v>
      </c>
      <c r="G2979" s="51" t="n">
        <v>989243018</v>
      </c>
      <c r="H2979" s="52" t="s">
        <v>6903</v>
      </c>
      <c r="I2979" s="52"/>
      <c r="J2979" s="1"/>
      <c r="K2979" s="1" t="s">
        <v>21</v>
      </c>
      <c r="L2979" s="1" t="s">
        <v>1156</v>
      </c>
      <c r="M2979" s="1"/>
      <c r="N2979" s="1"/>
      <c r="O2979" s="1"/>
      <c r="P2979" s="6"/>
      <c r="Q2979" s="1"/>
      <c r="R2979" s="1"/>
      <c r="S2979" s="1"/>
      <c r="T2979" s="1"/>
      <c r="U2979" s="1"/>
      <c r="V2979" s="1"/>
      <c r="W2979" s="1"/>
      <c r="X2979" s="1"/>
      <c r="Y2979" s="1"/>
      <c r="Z2979" s="1"/>
    </row>
    <row r="2980" customFormat="false" ht="21.75" hidden="false" customHeight="true" outlineLevel="0" collapsed="false">
      <c r="A2980" s="4" t="n">
        <v>43503</v>
      </c>
      <c r="B2980" s="53" t="s">
        <v>1114</v>
      </c>
      <c r="C2980" s="46" t="s">
        <v>15</v>
      </c>
      <c r="D2980" s="52" t="s">
        <v>43</v>
      </c>
      <c r="E2980" s="52" t="s">
        <v>109</v>
      </c>
      <c r="F2980" s="50" t="s">
        <v>6904</v>
      </c>
      <c r="G2980" s="51" t="n">
        <v>997110378</v>
      </c>
      <c r="H2980" s="52" t="s">
        <v>6905</v>
      </c>
      <c r="I2980" s="52"/>
      <c r="J2980" s="1"/>
      <c r="K2980" s="1" t="s">
        <v>1156</v>
      </c>
      <c r="L2980" s="1" t="s">
        <v>21</v>
      </c>
      <c r="M2980" s="1"/>
      <c r="N2980" s="1"/>
      <c r="O2980" s="1"/>
      <c r="P2980" s="6"/>
      <c r="Q2980" s="1"/>
      <c r="R2980" s="1"/>
      <c r="S2980" s="1"/>
      <c r="T2980" s="1"/>
      <c r="U2980" s="1"/>
      <c r="V2980" s="1"/>
      <c r="W2980" s="1"/>
      <c r="X2980" s="1"/>
      <c r="Y2980" s="1"/>
      <c r="Z2980" s="1"/>
    </row>
    <row r="2981" customFormat="false" ht="21.75" hidden="false" customHeight="true" outlineLevel="0" collapsed="false">
      <c r="A2981" s="4" t="n">
        <v>43503</v>
      </c>
      <c r="B2981" s="53" t="s">
        <v>48</v>
      </c>
      <c r="C2981" s="46" t="s">
        <v>15</v>
      </c>
      <c r="D2981" s="52" t="s">
        <v>43</v>
      </c>
      <c r="E2981" s="52" t="s">
        <v>109</v>
      </c>
      <c r="F2981" s="50" t="s">
        <v>6906</v>
      </c>
      <c r="G2981" s="51" t="n">
        <v>997582404</v>
      </c>
      <c r="H2981" s="52" t="s">
        <v>6907</v>
      </c>
      <c r="I2981" s="52"/>
      <c r="J2981" s="1"/>
      <c r="K2981" s="1" t="s">
        <v>1156</v>
      </c>
      <c r="L2981" s="1" t="s">
        <v>21</v>
      </c>
      <c r="M2981" s="1"/>
      <c r="N2981" s="1"/>
      <c r="O2981" s="1"/>
      <c r="P2981" s="6"/>
      <c r="Q2981" s="1"/>
      <c r="R2981" s="1"/>
      <c r="S2981" s="1"/>
      <c r="T2981" s="1"/>
      <c r="U2981" s="1"/>
      <c r="V2981" s="1"/>
      <c r="W2981" s="1"/>
      <c r="X2981" s="1"/>
      <c r="Y2981" s="1"/>
      <c r="Z2981" s="1"/>
    </row>
    <row r="2982" customFormat="false" ht="21.75" hidden="false" customHeight="true" outlineLevel="0" collapsed="false">
      <c r="A2982" s="4" t="n">
        <v>43503</v>
      </c>
      <c r="B2982" s="53" t="s">
        <v>127</v>
      </c>
      <c r="C2982" s="46" t="s">
        <v>15</v>
      </c>
      <c r="D2982" s="52" t="s">
        <v>43</v>
      </c>
      <c r="E2982" s="52" t="s">
        <v>44</v>
      </c>
      <c r="F2982" s="50" t="s">
        <v>6908</v>
      </c>
      <c r="G2982" s="51" t="n">
        <v>967763421</v>
      </c>
      <c r="H2982" s="52" t="s">
        <v>6909</v>
      </c>
      <c r="I2982" s="52"/>
      <c r="J2982" s="1"/>
      <c r="K2982" s="1" t="s">
        <v>1156</v>
      </c>
      <c r="L2982" s="1" t="s">
        <v>21</v>
      </c>
      <c r="M2982" s="1"/>
      <c r="N2982" s="1"/>
      <c r="O2982" s="1"/>
      <c r="P2982" s="6"/>
      <c r="Q2982" s="1"/>
      <c r="R2982" s="1"/>
      <c r="S2982" s="1"/>
      <c r="T2982" s="1"/>
      <c r="U2982" s="1"/>
      <c r="V2982" s="1"/>
      <c r="W2982" s="1"/>
      <c r="X2982" s="1"/>
      <c r="Y2982" s="1"/>
      <c r="Z2982" s="1"/>
    </row>
    <row r="2983" customFormat="false" ht="21.75" hidden="false" customHeight="true" outlineLevel="0" collapsed="false">
      <c r="A2983" s="4" t="n">
        <v>43503</v>
      </c>
      <c r="B2983" s="53" t="s">
        <v>1831</v>
      </c>
      <c r="C2983" s="46" t="s">
        <v>15</v>
      </c>
      <c r="D2983" s="52" t="s">
        <v>43</v>
      </c>
      <c r="E2983" s="52" t="s">
        <v>109</v>
      </c>
      <c r="F2983" s="50" t="s">
        <v>6910</v>
      </c>
      <c r="G2983" s="51" t="n">
        <v>995139492</v>
      </c>
      <c r="H2983" s="66" t="s">
        <v>6911</v>
      </c>
      <c r="I2983" s="66"/>
      <c r="J2983" s="1"/>
      <c r="K2983" s="1" t="s">
        <v>6478</v>
      </c>
      <c r="L2983" s="1"/>
      <c r="M2983" s="1"/>
      <c r="N2983" s="1"/>
      <c r="O2983" s="1"/>
      <c r="P2983" s="6"/>
      <c r="Q2983" s="1"/>
      <c r="R2983" s="1"/>
      <c r="S2983" s="1"/>
      <c r="T2983" s="1"/>
      <c r="U2983" s="1"/>
      <c r="V2983" s="1"/>
      <c r="W2983" s="1"/>
      <c r="X2983" s="1"/>
      <c r="Y2983" s="1"/>
      <c r="Z2983" s="1"/>
    </row>
    <row r="2984" customFormat="false" ht="21.75" hidden="false" customHeight="true" outlineLevel="0" collapsed="false">
      <c r="A2984" s="4" t="n">
        <v>43503</v>
      </c>
      <c r="B2984" s="61" t="s">
        <v>48</v>
      </c>
      <c r="C2984" s="46" t="s">
        <v>15</v>
      </c>
      <c r="D2984" s="46" t="s">
        <v>43</v>
      </c>
      <c r="E2984" s="46" t="s">
        <v>44</v>
      </c>
      <c r="F2984" s="50" t="s">
        <v>6912</v>
      </c>
      <c r="G2984" s="51" t="n">
        <v>960507461</v>
      </c>
      <c r="H2984" s="52" t="s">
        <v>6913</v>
      </c>
      <c r="I2984" s="52"/>
      <c r="J2984" s="1"/>
      <c r="K2984" s="1" t="s">
        <v>6914</v>
      </c>
      <c r="L2984" s="1"/>
      <c r="M2984" s="1"/>
      <c r="N2984" s="1"/>
      <c r="O2984" s="1"/>
      <c r="P2984" s="6"/>
      <c r="Q2984" s="1"/>
      <c r="R2984" s="1"/>
      <c r="S2984" s="1"/>
      <c r="T2984" s="1"/>
      <c r="U2984" s="1"/>
      <c r="V2984" s="1"/>
      <c r="W2984" s="1"/>
      <c r="X2984" s="1"/>
      <c r="Y2984" s="1"/>
      <c r="Z2984" s="1"/>
    </row>
    <row r="2985" customFormat="false" ht="21.75" hidden="false" customHeight="true" outlineLevel="0" collapsed="false">
      <c r="A2985" s="4" t="n">
        <v>43503</v>
      </c>
      <c r="B2985" s="61" t="s">
        <v>178</v>
      </c>
      <c r="C2985" s="46" t="s">
        <v>15</v>
      </c>
      <c r="D2985" s="46" t="s">
        <v>43</v>
      </c>
      <c r="E2985" s="46" t="s">
        <v>883</v>
      </c>
      <c r="F2985" s="50" t="s">
        <v>6915</v>
      </c>
      <c r="G2985" s="66" t="n">
        <v>985801641</v>
      </c>
      <c r="H2985" s="52" t="s">
        <v>6916</v>
      </c>
      <c r="I2985" s="52"/>
      <c r="J2985" s="1"/>
      <c r="K2985" s="1" t="s">
        <v>6917</v>
      </c>
      <c r="L2985" s="1"/>
      <c r="M2985" s="1"/>
      <c r="N2985" s="1"/>
      <c r="O2985" s="1"/>
      <c r="P2985" s="6"/>
      <c r="Q2985" s="1"/>
      <c r="R2985" s="1"/>
      <c r="S2985" s="1"/>
      <c r="T2985" s="1"/>
      <c r="U2985" s="1"/>
      <c r="V2985" s="1"/>
      <c r="W2985" s="1"/>
      <c r="X2985" s="1"/>
      <c r="Y2985" s="1"/>
      <c r="Z2985" s="1"/>
    </row>
    <row r="2986" customFormat="false" ht="21.75" hidden="false" customHeight="true" outlineLevel="0" collapsed="false">
      <c r="A2986" s="4" t="n">
        <v>43503</v>
      </c>
      <c r="B2986" s="61" t="s">
        <v>127</v>
      </c>
      <c r="C2986" s="46" t="s">
        <v>15</v>
      </c>
      <c r="D2986" s="46" t="s">
        <v>43</v>
      </c>
      <c r="E2986" s="46" t="s">
        <v>109</v>
      </c>
      <c r="F2986" s="50" t="s">
        <v>6918</v>
      </c>
      <c r="G2986" s="51" t="n">
        <v>981837479</v>
      </c>
      <c r="H2986" s="52" t="s">
        <v>6546</v>
      </c>
      <c r="I2986" s="52"/>
      <c r="J2986" s="1"/>
      <c r="K2986" s="1" t="s">
        <v>6919</v>
      </c>
      <c r="L2986" s="1"/>
      <c r="M2986" s="1"/>
      <c r="N2986" s="1"/>
      <c r="O2986" s="1"/>
      <c r="P2986" s="6"/>
      <c r="Q2986" s="1"/>
      <c r="R2986" s="1"/>
      <c r="S2986" s="1"/>
      <c r="T2986" s="1"/>
      <c r="U2986" s="1"/>
      <c r="V2986" s="1"/>
      <c r="W2986" s="1"/>
      <c r="X2986" s="1"/>
      <c r="Y2986" s="1"/>
      <c r="Z2986" s="1"/>
    </row>
    <row r="2987" customFormat="false" ht="21.75" hidden="false" customHeight="true" outlineLevel="0" collapsed="false">
      <c r="A2987" s="4" t="n">
        <v>43504</v>
      </c>
      <c r="B2987" s="46" t="s">
        <v>48</v>
      </c>
      <c r="C2987" s="46" t="s">
        <v>15</v>
      </c>
      <c r="D2987" s="52" t="s">
        <v>43</v>
      </c>
      <c r="E2987" s="52" t="s">
        <v>883</v>
      </c>
      <c r="F2987" s="46" t="s">
        <v>6920</v>
      </c>
      <c r="G2987" s="46" t="n">
        <f aca="false">+593988306184</f>
        <v>593988306184</v>
      </c>
      <c r="H2987" s="46" t="s">
        <v>6921</v>
      </c>
      <c r="I2987" s="46"/>
      <c r="J2987" s="1"/>
      <c r="K2987" s="1" t="s">
        <v>6922</v>
      </c>
      <c r="L2987" s="1"/>
      <c r="M2987" s="1"/>
      <c r="N2987" s="1"/>
      <c r="O2987" s="1"/>
      <c r="P2987" s="6"/>
      <c r="Q2987" s="1"/>
      <c r="R2987" s="1"/>
      <c r="S2987" s="1"/>
      <c r="T2987" s="1"/>
      <c r="U2987" s="1"/>
      <c r="V2987" s="1"/>
      <c r="W2987" s="1"/>
      <c r="X2987" s="1"/>
      <c r="Y2987" s="1"/>
      <c r="Z2987" s="1"/>
    </row>
    <row r="2988" customFormat="false" ht="21.75" hidden="false" customHeight="true" outlineLevel="0" collapsed="false">
      <c r="A2988" s="4" t="n">
        <v>43504</v>
      </c>
      <c r="B2988" s="46" t="s">
        <v>48</v>
      </c>
      <c r="C2988" s="46" t="s">
        <v>26</v>
      </c>
      <c r="D2988" s="52" t="s">
        <v>43</v>
      </c>
      <c r="E2988" s="52" t="s">
        <v>883</v>
      </c>
      <c r="F2988" s="46" t="s">
        <v>6923</v>
      </c>
      <c r="G2988" s="46" t="n">
        <f aca="false">+593989568250</f>
        <v>593989568250</v>
      </c>
      <c r="H2988" s="46" t="s">
        <v>6924</v>
      </c>
      <c r="I2988" s="46"/>
      <c r="J2988" s="1"/>
      <c r="K2988" s="1" t="s">
        <v>1156</v>
      </c>
      <c r="L2988" s="1" t="s">
        <v>21</v>
      </c>
      <c r="M2988" s="1"/>
      <c r="N2988" s="1"/>
      <c r="O2988" s="1"/>
      <c r="P2988" s="6"/>
      <c r="Q2988" s="1"/>
      <c r="R2988" s="1"/>
      <c r="S2988" s="1"/>
      <c r="T2988" s="1"/>
      <c r="U2988" s="1"/>
      <c r="V2988" s="1"/>
      <c r="W2988" s="1"/>
      <c r="X2988" s="1"/>
      <c r="Y2988" s="1"/>
      <c r="Z2988" s="1"/>
    </row>
    <row r="2989" customFormat="false" ht="21.75" hidden="false" customHeight="true" outlineLevel="0" collapsed="false">
      <c r="A2989" s="4" t="n">
        <v>43504</v>
      </c>
      <c r="B2989" s="46" t="s">
        <v>48</v>
      </c>
      <c r="C2989" s="46" t="s">
        <v>15</v>
      </c>
      <c r="D2989" s="52" t="s">
        <v>43</v>
      </c>
      <c r="E2989" s="52" t="s">
        <v>883</v>
      </c>
      <c r="F2989" s="46" t="s">
        <v>6925</v>
      </c>
      <c r="G2989" s="46" t="n">
        <f aca="false">+593988168879</f>
        <v>593988168879</v>
      </c>
      <c r="H2989" s="46" t="s">
        <v>6926</v>
      </c>
      <c r="I2989" s="46"/>
      <c r="J2989" s="1"/>
      <c r="K2989" s="1" t="s">
        <v>6478</v>
      </c>
      <c r="L2989" s="1"/>
      <c r="M2989" s="1"/>
      <c r="N2989" s="1"/>
      <c r="O2989" s="1"/>
      <c r="P2989" s="6"/>
      <c r="Q2989" s="1"/>
      <c r="R2989" s="1"/>
      <c r="S2989" s="1"/>
      <c r="T2989" s="1"/>
      <c r="U2989" s="1"/>
      <c r="V2989" s="1"/>
      <c r="W2989" s="1"/>
      <c r="X2989" s="1"/>
      <c r="Y2989" s="1"/>
      <c r="Z2989" s="1"/>
    </row>
    <row r="2990" customFormat="false" ht="21.75" hidden="false" customHeight="true" outlineLevel="0" collapsed="false">
      <c r="A2990" s="4" t="n">
        <v>43504</v>
      </c>
      <c r="B2990" s="46" t="s">
        <v>1114</v>
      </c>
      <c r="C2990" s="46" t="s">
        <v>15</v>
      </c>
      <c r="D2990" s="52" t="s">
        <v>43</v>
      </c>
      <c r="E2990" s="52" t="s">
        <v>883</v>
      </c>
      <c r="F2990" s="46" t="s">
        <v>6927</v>
      </c>
      <c r="G2990" s="46" t="n">
        <f aca="false">+593939514844</f>
        <v>593939514844</v>
      </c>
      <c r="H2990" s="46" t="s">
        <v>6928</v>
      </c>
      <c r="I2990" s="46"/>
      <c r="J2990" s="1"/>
      <c r="K2990" s="1" t="s">
        <v>1156</v>
      </c>
      <c r="L2990" s="1" t="s">
        <v>5754</v>
      </c>
      <c r="M2990" s="1"/>
      <c r="N2990" s="1"/>
      <c r="O2990" s="1"/>
      <c r="P2990" s="6"/>
      <c r="Q2990" s="1"/>
      <c r="R2990" s="1"/>
      <c r="S2990" s="1"/>
      <c r="T2990" s="1"/>
      <c r="U2990" s="1"/>
      <c r="V2990" s="1"/>
      <c r="W2990" s="1"/>
      <c r="X2990" s="1"/>
      <c r="Y2990" s="1"/>
      <c r="Z2990" s="1"/>
    </row>
    <row r="2991" customFormat="false" ht="21.75" hidden="false" customHeight="true" outlineLevel="0" collapsed="false">
      <c r="A2991" s="4" t="n">
        <v>43504</v>
      </c>
      <c r="B2991" s="46" t="s">
        <v>1114</v>
      </c>
      <c r="C2991" s="46" t="s">
        <v>15</v>
      </c>
      <c r="D2991" s="52" t="s">
        <v>43</v>
      </c>
      <c r="E2991" s="52" t="s">
        <v>883</v>
      </c>
      <c r="F2991" s="46" t="s">
        <v>6929</v>
      </c>
      <c r="G2991" s="46" t="n">
        <f aca="false">+593968291421</f>
        <v>593968291421</v>
      </c>
      <c r="H2991" s="46" t="s">
        <v>6930</v>
      </c>
      <c r="I2991" s="46"/>
      <c r="J2991" s="1"/>
      <c r="K2991" s="1" t="s">
        <v>1156</v>
      </c>
      <c r="L2991" s="1" t="s">
        <v>21</v>
      </c>
      <c r="M2991" s="1"/>
      <c r="N2991" s="1"/>
      <c r="O2991" s="1"/>
      <c r="P2991" s="6"/>
      <c r="Q2991" s="1"/>
      <c r="R2991" s="1"/>
      <c r="S2991" s="1"/>
      <c r="T2991" s="1"/>
      <c r="U2991" s="1"/>
      <c r="V2991" s="1"/>
      <c r="W2991" s="1"/>
      <c r="X2991" s="1"/>
      <c r="Y2991" s="1"/>
      <c r="Z2991" s="1"/>
    </row>
    <row r="2992" customFormat="false" ht="21.75" hidden="false" customHeight="true" outlineLevel="0" collapsed="false">
      <c r="A2992" s="4" t="n">
        <v>43504</v>
      </c>
      <c r="B2992" s="46" t="s">
        <v>352</v>
      </c>
      <c r="C2992" s="46" t="s">
        <v>15</v>
      </c>
      <c r="D2992" s="52" t="s">
        <v>43</v>
      </c>
      <c r="E2992" s="52" t="s">
        <v>883</v>
      </c>
      <c r="F2992" s="46" t="s">
        <v>6931</v>
      </c>
      <c r="G2992" s="46" t="n">
        <f aca="false">+593991508218</f>
        <v>593991508218</v>
      </c>
      <c r="H2992" s="46" t="s">
        <v>6932</v>
      </c>
      <c r="I2992" s="46"/>
      <c r="J2992" s="1"/>
      <c r="K2992" s="1" t="s">
        <v>6933</v>
      </c>
      <c r="L2992" s="1"/>
      <c r="M2992" s="1"/>
      <c r="N2992" s="1"/>
      <c r="O2992" s="1"/>
      <c r="P2992" s="6"/>
      <c r="Q2992" s="1"/>
      <c r="R2992" s="1"/>
      <c r="S2992" s="1"/>
      <c r="T2992" s="1"/>
      <c r="U2992" s="1"/>
      <c r="V2992" s="1"/>
      <c r="W2992" s="1"/>
      <c r="X2992" s="1"/>
      <c r="Y2992" s="1"/>
      <c r="Z2992" s="1"/>
    </row>
    <row r="2993" customFormat="false" ht="21.75" hidden="false" customHeight="true" outlineLevel="0" collapsed="false">
      <c r="A2993" s="4" t="n">
        <v>43504</v>
      </c>
      <c r="B2993" s="46" t="s">
        <v>352</v>
      </c>
      <c r="C2993" s="46" t="s">
        <v>15</v>
      </c>
      <c r="D2993" s="52" t="s">
        <v>43</v>
      </c>
      <c r="E2993" s="52" t="s">
        <v>883</v>
      </c>
      <c r="F2993" s="46" t="s">
        <v>6934</v>
      </c>
      <c r="G2993" s="46" t="n">
        <f aca="false">+593999867609</f>
        <v>593999867609</v>
      </c>
      <c r="H2993" s="46" t="s">
        <v>6935</v>
      </c>
      <c r="I2993" s="46"/>
      <c r="J2993" s="1"/>
      <c r="K2993" s="1" t="s">
        <v>1156</v>
      </c>
      <c r="L2993" s="1" t="s">
        <v>6936</v>
      </c>
      <c r="M2993" s="1"/>
      <c r="N2993" s="1"/>
      <c r="O2993" s="1"/>
      <c r="P2993" s="6"/>
      <c r="Q2993" s="1"/>
      <c r="R2993" s="1"/>
      <c r="S2993" s="1"/>
      <c r="T2993" s="1"/>
      <c r="U2993" s="1"/>
      <c r="V2993" s="1"/>
      <c r="W2993" s="1"/>
      <c r="X2993" s="1"/>
      <c r="Y2993" s="1"/>
      <c r="Z2993" s="1"/>
    </row>
    <row r="2994" customFormat="false" ht="21.75" hidden="false" customHeight="true" outlineLevel="0" collapsed="false">
      <c r="A2994" s="4" t="n">
        <v>43504</v>
      </c>
      <c r="B2994" s="46" t="s">
        <v>48</v>
      </c>
      <c r="C2994" s="46" t="s">
        <v>15</v>
      </c>
      <c r="D2994" s="52" t="s">
        <v>43</v>
      </c>
      <c r="E2994" s="52" t="s">
        <v>883</v>
      </c>
      <c r="F2994" s="46" t="s">
        <v>6937</v>
      </c>
      <c r="G2994" s="46" t="n">
        <f aca="false">+593991891116</f>
        <v>593991891116</v>
      </c>
      <c r="H2994" s="46" t="s">
        <v>6938</v>
      </c>
      <c r="I2994" s="46"/>
      <c r="J2994" s="1"/>
      <c r="K2994" s="1" t="s">
        <v>5481</v>
      </c>
      <c r="L2994" s="1" t="s">
        <v>21</v>
      </c>
      <c r="M2994" s="1"/>
      <c r="N2994" s="1"/>
      <c r="O2994" s="1"/>
      <c r="P2994" s="6"/>
      <c r="Q2994" s="1"/>
      <c r="R2994" s="1"/>
      <c r="S2994" s="1"/>
      <c r="T2994" s="1"/>
      <c r="U2994" s="1"/>
      <c r="V2994" s="1"/>
      <c r="W2994" s="1"/>
      <c r="X2994" s="1"/>
      <c r="Y2994" s="1"/>
      <c r="Z2994" s="1"/>
    </row>
    <row r="2995" customFormat="false" ht="21.75" hidden="false" customHeight="true" outlineLevel="0" collapsed="false">
      <c r="A2995" s="4" t="n">
        <v>43504</v>
      </c>
      <c r="B2995" s="46" t="s">
        <v>48</v>
      </c>
      <c r="C2995" s="46" t="s">
        <v>15</v>
      </c>
      <c r="D2995" s="52" t="s">
        <v>43</v>
      </c>
      <c r="E2995" s="52" t="s">
        <v>883</v>
      </c>
      <c r="F2995" s="46" t="s">
        <v>6939</v>
      </c>
      <c r="G2995" s="46" t="n">
        <f aca="false">+593988779477</f>
        <v>593988779477</v>
      </c>
      <c r="H2995" s="46" t="s">
        <v>6940</v>
      </c>
      <c r="I2995" s="46"/>
      <c r="J2995" s="1"/>
      <c r="K2995" s="1" t="s">
        <v>1156</v>
      </c>
      <c r="L2995" s="1" t="s">
        <v>21</v>
      </c>
      <c r="M2995" s="1"/>
      <c r="N2995" s="1"/>
      <c r="O2995" s="1"/>
      <c r="P2995" s="6"/>
      <c r="Q2995" s="1"/>
      <c r="R2995" s="1"/>
      <c r="S2995" s="1"/>
      <c r="T2995" s="1"/>
      <c r="U2995" s="1"/>
      <c r="V2995" s="1"/>
      <c r="W2995" s="1"/>
      <c r="X2995" s="1"/>
      <c r="Y2995" s="1"/>
      <c r="Z2995" s="1"/>
    </row>
    <row r="2996" customFormat="false" ht="21.75" hidden="false" customHeight="true" outlineLevel="0" collapsed="false">
      <c r="A2996" s="4" t="n">
        <v>43504</v>
      </c>
      <c r="B2996" s="46" t="s">
        <v>48</v>
      </c>
      <c r="C2996" s="46" t="s">
        <v>15</v>
      </c>
      <c r="D2996" s="52" t="s">
        <v>43</v>
      </c>
      <c r="E2996" s="52" t="s">
        <v>883</v>
      </c>
      <c r="F2996" s="46" t="s">
        <v>6941</v>
      </c>
      <c r="G2996" s="46" t="n">
        <f aca="false">+5930985554041</f>
        <v>5930985554041</v>
      </c>
      <c r="H2996" s="46" t="s">
        <v>6942</v>
      </c>
      <c r="I2996" s="46"/>
      <c r="J2996" s="1"/>
      <c r="K2996" s="1" t="s">
        <v>1156</v>
      </c>
      <c r="L2996" s="1" t="s">
        <v>6430</v>
      </c>
      <c r="M2996" s="1"/>
      <c r="N2996" s="1"/>
      <c r="O2996" s="1"/>
      <c r="P2996" s="6"/>
      <c r="Q2996" s="1"/>
      <c r="R2996" s="1"/>
      <c r="S2996" s="1"/>
      <c r="T2996" s="1"/>
      <c r="U2996" s="1"/>
      <c r="V2996" s="1"/>
      <c r="W2996" s="1"/>
      <c r="X2996" s="1"/>
      <c r="Y2996" s="1"/>
      <c r="Z2996" s="1"/>
    </row>
    <row r="2997" customFormat="false" ht="21.75" hidden="false" customHeight="true" outlineLevel="0" collapsed="false">
      <c r="A2997" s="4" t="n">
        <v>43504</v>
      </c>
      <c r="B2997" s="46" t="s">
        <v>48</v>
      </c>
      <c r="C2997" s="46" t="s">
        <v>15</v>
      </c>
      <c r="D2997" s="52" t="s">
        <v>43</v>
      </c>
      <c r="E2997" s="52" t="s">
        <v>883</v>
      </c>
      <c r="F2997" s="46" t="s">
        <v>6943</v>
      </c>
      <c r="G2997" s="46" t="n">
        <f aca="false">+593968733708</f>
        <v>593968733708</v>
      </c>
      <c r="H2997" s="46" t="s">
        <v>6944</v>
      </c>
      <c r="I2997" s="46"/>
      <c r="J2997" s="1"/>
      <c r="K2997" s="1" t="s">
        <v>1156</v>
      </c>
      <c r="L2997" s="1" t="s">
        <v>21</v>
      </c>
      <c r="M2997" s="1"/>
      <c r="N2997" s="1"/>
      <c r="O2997" s="1"/>
      <c r="P2997" s="6"/>
      <c r="Q2997" s="1"/>
      <c r="R2997" s="1"/>
      <c r="S2997" s="1"/>
      <c r="T2997" s="1"/>
      <c r="U2997" s="1"/>
      <c r="V2997" s="1"/>
      <c r="W2997" s="1"/>
      <c r="X2997" s="1"/>
      <c r="Y2997" s="1"/>
      <c r="Z2997" s="1"/>
    </row>
    <row r="2998" customFormat="false" ht="21.75" hidden="false" customHeight="true" outlineLevel="0" collapsed="false">
      <c r="A2998" s="4" t="n">
        <v>43504</v>
      </c>
      <c r="B2998" s="46" t="s">
        <v>127</v>
      </c>
      <c r="C2998" s="46" t="s">
        <v>15</v>
      </c>
      <c r="D2998" s="52" t="s">
        <v>43</v>
      </c>
      <c r="E2998" s="52" t="s">
        <v>883</v>
      </c>
      <c r="F2998" s="46" t="s">
        <v>6945</v>
      </c>
      <c r="G2998" s="46" t="n">
        <f aca="false">+593995536775</f>
        <v>593995536775</v>
      </c>
      <c r="H2998" s="46" t="s">
        <v>6946</v>
      </c>
      <c r="I2998" s="46"/>
      <c r="J2998" s="1"/>
      <c r="K2998" s="1" t="s">
        <v>1156</v>
      </c>
      <c r="L2998" s="1" t="s">
        <v>6430</v>
      </c>
      <c r="M2998" s="1"/>
      <c r="N2998" s="1"/>
      <c r="O2998" s="1"/>
      <c r="P2998" s="6"/>
      <c r="Q2998" s="1"/>
      <c r="R2998" s="1"/>
      <c r="S2998" s="1"/>
      <c r="T2998" s="1"/>
      <c r="U2998" s="1"/>
      <c r="V2998" s="1"/>
      <c r="W2998" s="1"/>
      <c r="X2998" s="1"/>
      <c r="Y2998" s="1"/>
      <c r="Z2998" s="1"/>
    </row>
    <row r="2999" customFormat="false" ht="21.75" hidden="false" customHeight="true" outlineLevel="0" collapsed="false">
      <c r="A2999" s="4" t="n">
        <v>43504</v>
      </c>
      <c r="B2999" s="46" t="s">
        <v>352</v>
      </c>
      <c r="C2999" s="46" t="s">
        <v>15</v>
      </c>
      <c r="D2999" s="52" t="s">
        <v>43</v>
      </c>
      <c r="E2999" s="52" t="s">
        <v>883</v>
      </c>
      <c r="F2999" s="46" t="s">
        <v>6947</v>
      </c>
      <c r="G2999" s="46" t="n">
        <f aca="false">+593967239695</f>
        <v>593967239695</v>
      </c>
      <c r="H2999" s="46" t="s">
        <v>6948</v>
      </c>
      <c r="I2999" s="46"/>
      <c r="J2999" s="1"/>
      <c r="K2999" s="1" t="s">
        <v>1156</v>
      </c>
      <c r="L2999" s="1" t="s">
        <v>21</v>
      </c>
      <c r="M2999" s="1"/>
      <c r="N2999" s="1"/>
      <c r="O2999" s="1"/>
      <c r="P2999" s="6"/>
      <c r="Q2999" s="1"/>
      <c r="R2999" s="1"/>
      <c r="S2999" s="1"/>
      <c r="T2999" s="1"/>
      <c r="U2999" s="1"/>
      <c r="V2999" s="1"/>
      <c r="W2999" s="1"/>
      <c r="X2999" s="1"/>
      <c r="Y2999" s="1"/>
      <c r="Z2999" s="1"/>
    </row>
    <row r="3000" customFormat="false" ht="21.75" hidden="false" customHeight="true" outlineLevel="0" collapsed="false">
      <c r="A3000" s="4" t="n">
        <v>43504</v>
      </c>
      <c r="B3000" s="46" t="s">
        <v>1114</v>
      </c>
      <c r="C3000" s="46" t="s">
        <v>15</v>
      </c>
      <c r="D3000" s="52" t="s">
        <v>43</v>
      </c>
      <c r="E3000" s="52" t="s">
        <v>883</v>
      </c>
      <c r="F3000" s="46" t="s">
        <v>6949</v>
      </c>
      <c r="G3000" s="46" t="n">
        <f aca="false">+593984637447</f>
        <v>593984637447</v>
      </c>
      <c r="H3000" s="46" t="s">
        <v>6950</v>
      </c>
      <c r="I3000" s="46"/>
      <c r="J3000" s="1"/>
      <c r="K3000" s="1" t="s">
        <v>1156</v>
      </c>
      <c r="L3000" s="1" t="s">
        <v>21</v>
      </c>
      <c r="M3000" s="1"/>
      <c r="N3000" s="1"/>
      <c r="O3000" s="1"/>
      <c r="P3000" s="6"/>
      <c r="Q3000" s="1"/>
      <c r="R3000" s="1"/>
      <c r="S3000" s="1"/>
      <c r="T3000" s="1"/>
      <c r="U3000" s="1"/>
      <c r="V3000" s="1"/>
      <c r="W3000" s="1"/>
      <c r="X3000" s="1"/>
      <c r="Y3000" s="1"/>
      <c r="Z3000" s="1"/>
    </row>
    <row r="3001" customFormat="false" ht="21.75" hidden="false" customHeight="true" outlineLevel="0" collapsed="false">
      <c r="A3001" s="4" t="n">
        <v>43504</v>
      </c>
      <c r="B3001" s="46" t="s">
        <v>48</v>
      </c>
      <c r="C3001" s="46" t="s">
        <v>15</v>
      </c>
      <c r="D3001" s="52" t="s">
        <v>43</v>
      </c>
      <c r="E3001" s="52" t="s">
        <v>883</v>
      </c>
      <c r="F3001" s="46" t="s">
        <v>6951</v>
      </c>
      <c r="G3001" s="46" t="n">
        <f aca="false">+5930997213904</f>
        <v>5930997213904</v>
      </c>
      <c r="H3001" s="46" t="s">
        <v>6952</v>
      </c>
      <c r="I3001" s="46"/>
      <c r="J3001" s="1"/>
      <c r="K3001" s="1" t="s">
        <v>1156</v>
      </c>
      <c r="L3001" s="1" t="s">
        <v>6953</v>
      </c>
      <c r="M3001" s="1"/>
      <c r="N3001" s="1"/>
      <c r="O3001" s="1"/>
      <c r="P3001" s="6"/>
      <c r="Q3001" s="1"/>
      <c r="R3001" s="1"/>
      <c r="S3001" s="1"/>
      <c r="T3001" s="1"/>
      <c r="U3001" s="1"/>
      <c r="V3001" s="1"/>
      <c r="W3001" s="1"/>
      <c r="X3001" s="1"/>
      <c r="Y3001" s="1"/>
      <c r="Z3001" s="1"/>
    </row>
    <row r="3002" customFormat="false" ht="21.75" hidden="false" customHeight="true" outlineLevel="0" collapsed="false">
      <c r="A3002" s="4" t="n">
        <v>43504</v>
      </c>
      <c r="B3002" s="46" t="s">
        <v>48</v>
      </c>
      <c r="C3002" s="46" t="s">
        <v>15</v>
      </c>
      <c r="D3002" s="52" t="s">
        <v>43</v>
      </c>
      <c r="E3002" s="52" t="s">
        <v>883</v>
      </c>
      <c r="F3002" s="46" t="s">
        <v>6954</v>
      </c>
      <c r="G3002" s="57" t="n">
        <v>991244265</v>
      </c>
      <c r="H3002" s="46" t="s">
        <v>6955</v>
      </c>
      <c r="I3002" s="46"/>
      <c r="J3002" s="1"/>
      <c r="K3002" s="1" t="s">
        <v>5481</v>
      </c>
      <c r="L3002" s="1" t="s">
        <v>1446</v>
      </c>
      <c r="M3002" s="1"/>
      <c r="N3002" s="1"/>
      <c r="O3002" s="1"/>
      <c r="P3002" s="6"/>
      <c r="Q3002" s="1"/>
      <c r="R3002" s="1"/>
      <c r="S3002" s="1"/>
      <c r="T3002" s="1"/>
      <c r="U3002" s="1"/>
      <c r="V3002" s="1"/>
      <c r="W3002" s="1"/>
      <c r="X3002" s="1"/>
      <c r="Y3002" s="1"/>
      <c r="Z3002" s="1"/>
    </row>
    <row r="3003" customFormat="false" ht="21.75" hidden="false" customHeight="true" outlineLevel="0" collapsed="false">
      <c r="A3003" s="4" t="n">
        <v>43504</v>
      </c>
      <c r="B3003" s="46" t="s">
        <v>48</v>
      </c>
      <c r="C3003" s="46" t="s">
        <v>15</v>
      </c>
      <c r="D3003" s="52" t="s">
        <v>43</v>
      </c>
      <c r="E3003" s="52" t="s">
        <v>883</v>
      </c>
      <c r="F3003" s="46" t="s">
        <v>6956</v>
      </c>
      <c r="G3003" s="46" t="n">
        <f aca="false">+593990663465</f>
        <v>593990663465</v>
      </c>
      <c r="H3003" s="46" t="s">
        <v>6957</v>
      </c>
      <c r="I3003" s="46"/>
      <c r="J3003" s="1"/>
      <c r="K3003" s="1" t="s">
        <v>6958</v>
      </c>
      <c r="L3003" s="1"/>
      <c r="M3003" s="1"/>
      <c r="N3003" s="1"/>
      <c r="O3003" s="1"/>
      <c r="P3003" s="6"/>
      <c r="Q3003" s="1"/>
      <c r="R3003" s="1"/>
      <c r="S3003" s="1"/>
      <c r="T3003" s="1"/>
      <c r="U3003" s="1"/>
      <c r="V3003" s="1"/>
      <c r="W3003" s="1"/>
      <c r="X3003" s="1"/>
      <c r="Y3003" s="1"/>
      <c r="Z3003" s="1"/>
    </row>
    <row r="3004" customFormat="false" ht="21.75" hidden="false" customHeight="true" outlineLevel="0" collapsed="false">
      <c r="A3004" s="4" t="n">
        <v>43504</v>
      </c>
      <c r="B3004" s="46" t="s">
        <v>1114</v>
      </c>
      <c r="C3004" s="46" t="s">
        <v>15</v>
      </c>
      <c r="D3004" s="52" t="s">
        <v>43</v>
      </c>
      <c r="E3004" s="52" t="s">
        <v>883</v>
      </c>
      <c r="F3004" s="46" t="s">
        <v>6959</v>
      </c>
      <c r="G3004" s="46" t="n">
        <f aca="false">+5930991625773</f>
        <v>5930991625773</v>
      </c>
      <c r="H3004" s="46" t="s">
        <v>6960</v>
      </c>
      <c r="I3004" s="46"/>
      <c r="J3004" s="1"/>
      <c r="K3004" s="1" t="s">
        <v>6961</v>
      </c>
      <c r="L3004" s="1"/>
      <c r="M3004" s="1"/>
      <c r="N3004" s="1"/>
      <c r="O3004" s="1"/>
      <c r="P3004" s="6"/>
      <c r="Q3004" s="1"/>
      <c r="R3004" s="1"/>
      <c r="S3004" s="1"/>
      <c r="T3004" s="1"/>
      <c r="U3004" s="1"/>
      <c r="V3004" s="1"/>
      <c r="W3004" s="1"/>
      <c r="X3004" s="1"/>
      <c r="Y3004" s="1"/>
      <c r="Z3004" s="1"/>
    </row>
    <row r="3005" customFormat="false" ht="21.75" hidden="false" customHeight="true" outlineLevel="0" collapsed="false">
      <c r="A3005" s="4" t="n">
        <v>43504</v>
      </c>
      <c r="B3005" s="46" t="s">
        <v>1106</v>
      </c>
      <c r="C3005" s="46" t="s">
        <v>15</v>
      </c>
      <c r="D3005" s="52" t="s">
        <v>43</v>
      </c>
      <c r="E3005" s="52" t="s">
        <v>109</v>
      </c>
      <c r="F3005" s="46" t="s">
        <v>6962</v>
      </c>
      <c r="G3005" s="46" t="n">
        <f aca="false">+5930979244119</f>
        <v>5930979244119</v>
      </c>
      <c r="H3005" s="46" t="s">
        <v>6963</v>
      </c>
      <c r="I3005" s="46"/>
      <c r="J3005" s="1"/>
      <c r="K3005" s="1" t="s">
        <v>6964</v>
      </c>
      <c r="L3005" s="1"/>
      <c r="M3005" s="1"/>
      <c r="N3005" s="1"/>
      <c r="O3005" s="1"/>
      <c r="P3005" s="6"/>
      <c r="Q3005" s="1"/>
      <c r="R3005" s="1"/>
      <c r="S3005" s="1"/>
      <c r="T3005" s="1"/>
      <c r="U3005" s="1"/>
      <c r="V3005" s="1"/>
      <c r="W3005" s="1"/>
      <c r="X3005" s="1"/>
      <c r="Y3005" s="1"/>
      <c r="Z3005" s="1"/>
    </row>
    <row r="3006" customFormat="false" ht="21.75" hidden="false" customHeight="true" outlineLevel="0" collapsed="false">
      <c r="A3006" s="4" t="n">
        <v>43504</v>
      </c>
      <c r="B3006" s="46" t="s">
        <v>48</v>
      </c>
      <c r="C3006" s="46" t="s">
        <v>15</v>
      </c>
      <c r="D3006" s="52" t="s">
        <v>43</v>
      </c>
      <c r="E3006" s="52" t="s">
        <v>109</v>
      </c>
      <c r="F3006" s="46" t="s">
        <v>6965</v>
      </c>
      <c r="G3006" s="46" t="n">
        <f aca="false">+593993038826</f>
        <v>593993038826</v>
      </c>
      <c r="H3006" s="46" t="s">
        <v>6966</v>
      </c>
      <c r="I3006" s="46"/>
      <c r="J3006" s="1"/>
      <c r="K3006" s="1" t="s">
        <v>1156</v>
      </c>
      <c r="L3006" s="1" t="s">
        <v>5754</v>
      </c>
      <c r="M3006" s="1"/>
      <c r="N3006" s="1"/>
      <c r="O3006" s="1"/>
      <c r="P3006" s="6"/>
      <c r="Q3006" s="1"/>
      <c r="R3006" s="1"/>
      <c r="S3006" s="1"/>
      <c r="T3006" s="1"/>
      <c r="U3006" s="1"/>
      <c r="V3006" s="1"/>
      <c r="W3006" s="1"/>
      <c r="X3006" s="1"/>
      <c r="Y3006" s="1"/>
      <c r="Z3006" s="1"/>
    </row>
    <row r="3007" customFormat="false" ht="21.75" hidden="false" customHeight="true" outlineLevel="0" collapsed="false">
      <c r="A3007" s="4" t="n">
        <v>43504</v>
      </c>
      <c r="B3007" s="46" t="s">
        <v>1831</v>
      </c>
      <c r="C3007" s="46" t="s">
        <v>15</v>
      </c>
      <c r="D3007" s="52" t="s">
        <v>43</v>
      </c>
      <c r="E3007" s="52" t="s">
        <v>109</v>
      </c>
      <c r="F3007" s="46" t="s">
        <v>6967</v>
      </c>
      <c r="G3007" s="46" t="n">
        <f aca="false">+593979641357</f>
        <v>593979641357</v>
      </c>
      <c r="H3007" s="46" t="s">
        <v>6968</v>
      </c>
      <c r="I3007" s="46"/>
      <c r="J3007" s="1"/>
      <c r="K3007" s="1" t="s">
        <v>1156</v>
      </c>
      <c r="L3007" s="1" t="s">
        <v>1857</v>
      </c>
      <c r="M3007" s="1"/>
      <c r="N3007" s="1"/>
      <c r="O3007" s="1"/>
      <c r="P3007" s="6"/>
      <c r="Q3007" s="1"/>
      <c r="R3007" s="1"/>
      <c r="S3007" s="1"/>
      <c r="T3007" s="1"/>
      <c r="U3007" s="1"/>
      <c r="V3007" s="1"/>
      <c r="W3007" s="1"/>
      <c r="X3007" s="1"/>
      <c r="Y3007" s="1"/>
      <c r="Z3007" s="1"/>
    </row>
    <row r="3008" customFormat="false" ht="21.75" hidden="false" customHeight="true" outlineLevel="0" collapsed="false">
      <c r="A3008" s="4" t="n">
        <v>43504</v>
      </c>
      <c r="B3008" s="46" t="s">
        <v>48</v>
      </c>
      <c r="C3008" s="46" t="s">
        <v>15</v>
      </c>
      <c r="D3008" s="52" t="s">
        <v>43</v>
      </c>
      <c r="E3008" s="52" t="s">
        <v>109</v>
      </c>
      <c r="F3008" s="46" t="s">
        <v>6969</v>
      </c>
      <c r="G3008" s="46" t="n">
        <f aca="false">+593981917704</f>
        <v>593981917704</v>
      </c>
      <c r="H3008" s="46" t="s">
        <v>6970</v>
      </c>
      <c r="I3008" s="46"/>
      <c r="J3008" s="1"/>
      <c r="K3008" s="1" t="s">
        <v>6971</v>
      </c>
      <c r="L3008" s="1"/>
      <c r="M3008" s="1"/>
      <c r="N3008" s="1"/>
      <c r="O3008" s="1"/>
      <c r="P3008" s="6"/>
      <c r="Q3008" s="1"/>
      <c r="R3008" s="1"/>
      <c r="S3008" s="1"/>
      <c r="T3008" s="1"/>
      <c r="U3008" s="1"/>
      <c r="V3008" s="1"/>
      <c r="W3008" s="1"/>
      <c r="X3008" s="1"/>
      <c r="Y3008" s="1"/>
      <c r="Z3008" s="1"/>
    </row>
    <row r="3009" customFormat="false" ht="21.75" hidden="false" customHeight="true" outlineLevel="0" collapsed="false">
      <c r="A3009" s="4" t="n">
        <v>43504</v>
      </c>
      <c r="B3009" s="46" t="s">
        <v>48</v>
      </c>
      <c r="C3009" s="46" t="s">
        <v>15</v>
      </c>
      <c r="D3009" s="52" t="s">
        <v>43</v>
      </c>
      <c r="E3009" s="52" t="s">
        <v>109</v>
      </c>
      <c r="F3009" s="46" t="s">
        <v>6972</v>
      </c>
      <c r="G3009" s="46" t="n">
        <f aca="false">+593990816733</f>
        <v>593990816733</v>
      </c>
      <c r="H3009" s="46" t="s">
        <v>6973</v>
      </c>
      <c r="I3009" s="46"/>
      <c r="J3009" s="1"/>
      <c r="K3009" s="1" t="s">
        <v>1156</v>
      </c>
      <c r="L3009" s="1" t="s">
        <v>21</v>
      </c>
      <c r="M3009" s="1"/>
      <c r="N3009" s="1"/>
      <c r="O3009" s="1"/>
      <c r="P3009" s="6"/>
      <c r="Q3009" s="1"/>
      <c r="R3009" s="1"/>
      <c r="S3009" s="1"/>
      <c r="T3009" s="1"/>
      <c r="U3009" s="1"/>
      <c r="V3009" s="1"/>
      <c r="W3009" s="1"/>
      <c r="X3009" s="1"/>
      <c r="Y3009" s="1"/>
      <c r="Z3009" s="1"/>
    </row>
    <row r="3010" customFormat="false" ht="21.75" hidden="false" customHeight="true" outlineLevel="0" collapsed="false">
      <c r="A3010" s="4" t="n">
        <v>43504</v>
      </c>
      <c r="B3010" s="46" t="s">
        <v>1114</v>
      </c>
      <c r="C3010" s="46" t="s">
        <v>15</v>
      </c>
      <c r="D3010" s="52" t="s">
        <v>43</v>
      </c>
      <c r="E3010" s="52" t="s">
        <v>109</v>
      </c>
      <c r="F3010" s="46" t="s">
        <v>6974</v>
      </c>
      <c r="G3010" s="46" t="n">
        <f aca="false">+593991838406</f>
        <v>593991838406</v>
      </c>
      <c r="H3010" s="46" t="s">
        <v>6975</v>
      </c>
      <c r="I3010" s="46"/>
      <c r="J3010" s="1"/>
      <c r="K3010" s="1" t="s">
        <v>6616</v>
      </c>
      <c r="L3010" s="1"/>
      <c r="M3010" s="1"/>
      <c r="N3010" s="1"/>
      <c r="O3010" s="1"/>
      <c r="P3010" s="6"/>
      <c r="Q3010" s="1"/>
      <c r="R3010" s="1"/>
      <c r="S3010" s="1"/>
      <c r="T3010" s="1"/>
      <c r="U3010" s="1"/>
      <c r="V3010" s="1"/>
      <c r="W3010" s="1"/>
      <c r="X3010" s="1"/>
      <c r="Y3010" s="1"/>
      <c r="Z3010" s="1"/>
    </row>
    <row r="3011" customFormat="false" ht="21.75" hidden="false" customHeight="true" outlineLevel="0" collapsed="false">
      <c r="A3011" s="4" t="n">
        <v>43504</v>
      </c>
      <c r="B3011" s="46" t="s">
        <v>532</v>
      </c>
      <c r="C3011" s="46" t="s">
        <v>15</v>
      </c>
      <c r="D3011" s="52" t="s">
        <v>43</v>
      </c>
      <c r="E3011" s="52" t="s">
        <v>109</v>
      </c>
      <c r="F3011" s="46" t="s">
        <v>6976</v>
      </c>
      <c r="G3011" s="46" t="n">
        <f aca="false">+5930998214563</f>
        <v>5930998214563</v>
      </c>
      <c r="H3011" s="46" t="s">
        <v>6977</v>
      </c>
      <c r="I3011" s="46"/>
      <c r="J3011" s="1"/>
      <c r="K3011" s="1" t="s">
        <v>1156</v>
      </c>
      <c r="L3011" s="1" t="s">
        <v>6978</v>
      </c>
      <c r="M3011" s="1"/>
      <c r="N3011" s="1"/>
      <c r="O3011" s="1"/>
      <c r="P3011" s="6"/>
      <c r="Q3011" s="1"/>
      <c r="R3011" s="1"/>
      <c r="S3011" s="1"/>
      <c r="T3011" s="1"/>
      <c r="U3011" s="1"/>
      <c r="V3011" s="1"/>
      <c r="W3011" s="1"/>
      <c r="X3011" s="1"/>
      <c r="Y3011" s="1"/>
      <c r="Z3011" s="1"/>
    </row>
    <row r="3012" customFormat="false" ht="21.75" hidden="false" customHeight="true" outlineLevel="0" collapsed="false">
      <c r="A3012" s="4" t="n">
        <v>43504</v>
      </c>
      <c r="B3012" s="46" t="s">
        <v>48</v>
      </c>
      <c r="C3012" s="46" t="s">
        <v>15</v>
      </c>
      <c r="D3012" s="52" t="s">
        <v>43</v>
      </c>
      <c r="E3012" s="52" t="s">
        <v>109</v>
      </c>
      <c r="F3012" s="46" t="s">
        <v>6979</v>
      </c>
      <c r="G3012" s="80" t="n">
        <f aca="false">+593989872588</f>
        <v>593989872588</v>
      </c>
      <c r="H3012" s="80"/>
      <c r="I3012" s="46"/>
      <c r="J3012" s="1"/>
      <c r="K3012" s="1" t="s">
        <v>21</v>
      </c>
      <c r="L3012" s="1"/>
      <c r="M3012" s="1"/>
      <c r="N3012" s="1"/>
      <c r="O3012" s="1"/>
      <c r="P3012" s="6"/>
      <c r="Q3012" s="1"/>
      <c r="R3012" s="1"/>
      <c r="S3012" s="1"/>
      <c r="T3012" s="1"/>
      <c r="U3012" s="1"/>
      <c r="V3012" s="1"/>
      <c r="W3012" s="1"/>
      <c r="X3012" s="1"/>
      <c r="Y3012" s="1"/>
      <c r="Z3012" s="1"/>
    </row>
    <row r="3013" customFormat="false" ht="21.75" hidden="false" customHeight="true" outlineLevel="0" collapsed="false">
      <c r="A3013" s="4" t="n">
        <v>43504</v>
      </c>
      <c r="B3013" s="46" t="s">
        <v>352</v>
      </c>
      <c r="C3013" s="46" t="s">
        <v>15</v>
      </c>
      <c r="D3013" s="52" t="s">
        <v>43</v>
      </c>
      <c r="E3013" s="52" t="s">
        <v>109</v>
      </c>
      <c r="F3013" s="46" t="s">
        <v>6980</v>
      </c>
      <c r="G3013" s="46" t="n">
        <f aca="false">+5930989075261</f>
        <v>5930989075261</v>
      </c>
      <c r="H3013" s="46" t="s">
        <v>6981</v>
      </c>
      <c r="I3013" s="46"/>
      <c r="J3013" s="1"/>
      <c r="K3013" s="1" t="s">
        <v>21</v>
      </c>
      <c r="L3013" s="1" t="s">
        <v>6982</v>
      </c>
      <c r="M3013" s="1"/>
      <c r="N3013" s="1"/>
      <c r="O3013" s="1"/>
      <c r="P3013" s="6"/>
      <c r="Q3013" s="1"/>
      <c r="R3013" s="1"/>
      <c r="S3013" s="1"/>
      <c r="T3013" s="1"/>
      <c r="U3013" s="1"/>
      <c r="V3013" s="1"/>
      <c r="W3013" s="1"/>
      <c r="X3013" s="1"/>
      <c r="Y3013" s="1"/>
      <c r="Z3013" s="1"/>
    </row>
    <row r="3014" customFormat="false" ht="21.75" hidden="false" customHeight="true" outlineLevel="0" collapsed="false">
      <c r="A3014" s="4" t="n">
        <v>43504</v>
      </c>
      <c r="B3014" s="46" t="s">
        <v>415</v>
      </c>
      <c r="C3014" s="46" t="s">
        <v>15</v>
      </c>
      <c r="D3014" s="52" t="s">
        <v>43</v>
      </c>
      <c r="E3014" s="52" t="s">
        <v>109</v>
      </c>
      <c r="F3014" s="46" t="s">
        <v>6983</v>
      </c>
      <c r="G3014" s="46" t="n">
        <f aca="false">+593981720338</f>
        <v>593981720338</v>
      </c>
      <c r="H3014" s="46" t="s">
        <v>6984</v>
      </c>
      <c r="I3014" s="46"/>
      <c r="J3014" s="1"/>
      <c r="K3014" s="1" t="s">
        <v>1149</v>
      </c>
      <c r="L3014" s="1" t="s">
        <v>1156</v>
      </c>
      <c r="M3014" s="1"/>
      <c r="N3014" s="1"/>
      <c r="O3014" s="1"/>
      <c r="P3014" s="6"/>
      <c r="Q3014" s="1"/>
      <c r="R3014" s="1"/>
      <c r="S3014" s="1"/>
      <c r="T3014" s="1"/>
      <c r="U3014" s="1"/>
      <c r="V3014" s="1"/>
      <c r="W3014" s="1"/>
      <c r="X3014" s="1"/>
      <c r="Y3014" s="1"/>
      <c r="Z3014" s="1"/>
    </row>
    <row r="3015" customFormat="false" ht="21.75" hidden="false" customHeight="true" outlineLevel="0" collapsed="false">
      <c r="A3015" s="4" t="n">
        <v>43504</v>
      </c>
      <c r="B3015" s="46" t="s">
        <v>1114</v>
      </c>
      <c r="C3015" s="46" t="s">
        <v>15</v>
      </c>
      <c r="D3015" s="52" t="s">
        <v>43</v>
      </c>
      <c r="E3015" s="52" t="s">
        <v>109</v>
      </c>
      <c r="F3015" s="46" t="s">
        <v>6985</v>
      </c>
      <c r="G3015" s="46" t="n">
        <f aca="false">+593979840230</f>
        <v>593979840230</v>
      </c>
      <c r="H3015" s="46" t="s">
        <v>6986</v>
      </c>
      <c r="I3015" s="46"/>
      <c r="J3015" s="1"/>
      <c r="K3015" s="1" t="s">
        <v>1156</v>
      </c>
      <c r="L3015" s="1" t="s">
        <v>1156</v>
      </c>
      <c r="M3015" s="1"/>
      <c r="N3015" s="1"/>
      <c r="O3015" s="1"/>
      <c r="P3015" s="6"/>
      <c r="Q3015" s="1"/>
      <c r="R3015" s="1"/>
      <c r="S3015" s="1"/>
      <c r="T3015" s="1"/>
      <c r="U3015" s="1"/>
      <c r="V3015" s="1"/>
      <c r="W3015" s="1"/>
      <c r="X3015" s="1"/>
      <c r="Y3015" s="1"/>
      <c r="Z3015" s="1"/>
    </row>
    <row r="3016" customFormat="false" ht="21.75" hidden="false" customHeight="true" outlineLevel="0" collapsed="false">
      <c r="A3016" s="4" t="n">
        <v>43504</v>
      </c>
      <c r="B3016" s="46" t="s">
        <v>48</v>
      </c>
      <c r="C3016" s="46" t="s">
        <v>15</v>
      </c>
      <c r="D3016" s="52" t="s">
        <v>43</v>
      </c>
      <c r="E3016" s="52" t="s">
        <v>109</v>
      </c>
      <c r="F3016" s="46" t="s">
        <v>6987</v>
      </c>
      <c r="G3016" s="46" t="n">
        <f aca="false">+593991867340</f>
        <v>593991867340</v>
      </c>
      <c r="H3016" s="46" t="s">
        <v>6988</v>
      </c>
      <c r="I3016" s="46"/>
      <c r="J3016" s="1"/>
      <c r="K3016" s="1" t="s">
        <v>6989</v>
      </c>
      <c r="L3016" s="1"/>
      <c r="M3016" s="1"/>
      <c r="N3016" s="1"/>
      <c r="O3016" s="1"/>
      <c r="P3016" s="6"/>
      <c r="Q3016" s="1"/>
      <c r="R3016" s="1"/>
      <c r="S3016" s="1"/>
      <c r="T3016" s="1"/>
      <c r="U3016" s="1"/>
      <c r="V3016" s="1"/>
      <c r="W3016" s="1"/>
      <c r="X3016" s="1"/>
      <c r="Y3016" s="1"/>
      <c r="Z3016" s="1"/>
    </row>
    <row r="3017" customFormat="false" ht="21.75" hidden="false" customHeight="true" outlineLevel="0" collapsed="false">
      <c r="A3017" s="4" t="n">
        <v>43504</v>
      </c>
      <c r="B3017" s="46" t="s">
        <v>48</v>
      </c>
      <c r="C3017" s="46" t="s">
        <v>15</v>
      </c>
      <c r="D3017" s="52" t="s">
        <v>43</v>
      </c>
      <c r="E3017" s="52" t="s">
        <v>109</v>
      </c>
      <c r="F3017" s="46" t="s">
        <v>6990</v>
      </c>
      <c r="G3017" s="46" t="n">
        <f aca="false">+593969671625</f>
        <v>593969671625</v>
      </c>
      <c r="H3017" s="46" t="s">
        <v>6991</v>
      </c>
      <c r="I3017" s="46"/>
      <c r="J3017" s="1"/>
      <c r="K3017" s="1" t="s">
        <v>6616</v>
      </c>
      <c r="L3017" s="1"/>
      <c r="M3017" s="1"/>
      <c r="N3017" s="1"/>
      <c r="O3017" s="1"/>
      <c r="P3017" s="6"/>
      <c r="Q3017" s="1"/>
      <c r="R3017" s="1"/>
      <c r="S3017" s="1"/>
      <c r="T3017" s="1"/>
      <c r="U3017" s="1"/>
      <c r="V3017" s="1"/>
      <c r="W3017" s="1"/>
      <c r="X3017" s="1"/>
      <c r="Y3017" s="1"/>
      <c r="Z3017" s="1"/>
    </row>
    <row r="3018" customFormat="false" ht="21.75" hidden="false" customHeight="true" outlineLevel="0" collapsed="false">
      <c r="A3018" s="4" t="n">
        <v>43504</v>
      </c>
      <c r="B3018" s="46" t="s">
        <v>48</v>
      </c>
      <c r="C3018" s="46" t="s">
        <v>15</v>
      </c>
      <c r="D3018" s="52" t="s">
        <v>43</v>
      </c>
      <c r="E3018" s="52" t="s">
        <v>109</v>
      </c>
      <c r="F3018" s="46" t="s">
        <v>6992</v>
      </c>
      <c r="G3018" s="46" t="n">
        <f aca="false">+593987377030</f>
        <v>593987377030</v>
      </c>
      <c r="H3018" s="46" t="s">
        <v>6993</v>
      </c>
      <c r="I3018" s="46"/>
      <c r="J3018" s="1"/>
      <c r="K3018" s="1" t="s">
        <v>1156</v>
      </c>
      <c r="L3018" s="1" t="s">
        <v>1156</v>
      </c>
      <c r="M3018" s="1"/>
      <c r="N3018" s="1"/>
      <c r="O3018" s="1"/>
      <c r="P3018" s="6"/>
      <c r="Q3018" s="1"/>
      <c r="R3018" s="1"/>
      <c r="S3018" s="1"/>
      <c r="T3018" s="1"/>
      <c r="U3018" s="1"/>
      <c r="V3018" s="1"/>
      <c r="W3018" s="1"/>
      <c r="X3018" s="1"/>
      <c r="Y3018" s="1"/>
      <c r="Z3018" s="1"/>
    </row>
    <row r="3019" customFormat="false" ht="21.75" hidden="false" customHeight="true" outlineLevel="0" collapsed="false">
      <c r="A3019" s="4" t="n">
        <v>43504</v>
      </c>
      <c r="B3019" s="46" t="s">
        <v>415</v>
      </c>
      <c r="C3019" s="46" t="s">
        <v>15</v>
      </c>
      <c r="D3019" s="52" t="s">
        <v>43</v>
      </c>
      <c r="E3019" s="52" t="s">
        <v>109</v>
      </c>
      <c r="F3019" s="46" t="s">
        <v>6994</v>
      </c>
      <c r="G3019" s="46" t="n">
        <f aca="false">+5930968561523</f>
        <v>5930968561523</v>
      </c>
      <c r="H3019" s="46" t="s">
        <v>6995</v>
      </c>
      <c r="I3019" s="46"/>
      <c r="J3019" s="1"/>
      <c r="K3019" s="1" t="s">
        <v>1156</v>
      </c>
      <c r="L3019" s="46" t="s">
        <v>6996</v>
      </c>
      <c r="M3019" s="1"/>
      <c r="N3019" s="1"/>
      <c r="O3019" s="1"/>
      <c r="P3019" s="6"/>
      <c r="Q3019" s="1"/>
      <c r="R3019" s="1"/>
      <c r="S3019" s="1"/>
      <c r="T3019" s="1"/>
      <c r="U3019" s="1"/>
      <c r="V3019" s="1"/>
      <c r="W3019" s="1"/>
      <c r="X3019" s="1"/>
      <c r="Y3019" s="1"/>
      <c r="Z3019" s="1"/>
    </row>
    <row r="3020" customFormat="false" ht="21.75" hidden="false" customHeight="true" outlineLevel="0" collapsed="false">
      <c r="A3020" s="4" t="n">
        <v>43504</v>
      </c>
      <c r="B3020" s="46" t="s">
        <v>352</v>
      </c>
      <c r="C3020" s="46" t="s">
        <v>15</v>
      </c>
      <c r="D3020" s="52" t="s">
        <v>43</v>
      </c>
      <c r="E3020" s="52" t="s">
        <v>109</v>
      </c>
      <c r="F3020" s="46" t="s">
        <v>6997</v>
      </c>
      <c r="G3020" s="46" t="n">
        <f aca="false">+593985275501</f>
        <v>593985275501</v>
      </c>
      <c r="H3020" s="46" t="s">
        <v>6998</v>
      </c>
      <c r="I3020" s="46"/>
      <c r="J3020" s="1"/>
      <c r="K3020" s="1" t="s">
        <v>1156</v>
      </c>
      <c r="L3020" s="1" t="s">
        <v>1149</v>
      </c>
      <c r="M3020" s="1"/>
      <c r="N3020" s="1"/>
      <c r="O3020" s="1"/>
      <c r="P3020" s="6"/>
      <c r="Q3020" s="1"/>
      <c r="R3020" s="1"/>
      <c r="S3020" s="1"/>
      <c r="T3020" s="1"/>
      <c r="U3020" s="1"/>
      <c r="V3020" s="1"/>
      <c r="W3020" s="1"/>
      <c r="X3020" s="1"/>
      <c r="Y3020" s="1"/>
      <c r="Z3020" s="1"/>
    </row>
    <row r="3021" customFormat="false" ht="21.75" hidden="false" customHeight="true" outlineLevel="0" collapsed="false">
      <c r="A3021" s="4" t="n">
        <v>43504</v>
      </c>
      <c r="B3021" s="46" t="s">
        <v>178</v>
      </c>
      <c r="C3021" s="46" t="s">
        <v>15</v>
      </c>
      <c r="D3021" s="52" t="s">
        <v>43</v>
      </c>
      <c r="E3021" s="52" t="s">
        <v>109</v>
      </c>
      <c r="F3021" s="46" t="s">
        <v>6999</v>
      </c>
      <c r="G3021" s="46" t="n">
        <f aca="false">+593992731096</f>
        <v>593992731096</v>
      </c>
      <c r="H3021" s="46" t="s">
        <v>7000</v>
      </c>
      <c r="I3021" s="46"/>
      <c r="J3021" s="1"/>
      <c r="K3021" s="1" t="s">
        <v>1156</v>
      </c>
      <c r="L3021" s="1" t="s">
        <v>1149</v>
      </c>
      <c r="M3021" s="1"/>
      <c r="N3021" s="1"/>
      <c r="O3021" s="1"/>
      <c r="P3021" s="6"/>
      <c r="Q3021" s="1"/>
      <c r="R3021" s="1"/>
      <c r="S3021" s="1"/>
      <c r="T3021" s="1"/>
      <c r="U3021" s="1"/>
      <c r="V3021" s="1"/>
      <c r="W3021" s="1"/>
      <c r="X3021" s="1"/>
      <c r="Y3021" s="1"/>
      <c r="Z3021" s="1"/>
    </row>
    <row r="3022" customFormat="false" ht="21.75" hidden="false" customHeight="true" outlineLevel="0" collapsed="false">
      <c r="A3022" s="4" t="n">
        <v>43504</v>
      </c>
      <c r="B3022" s="46" t="s">
        <v>323</v>
      </c>
      <c r="C3022" s="46" t="s">
        <v>15</v>
      </c>
      <c r="D3022" s="52" t="s">
        <v>43</v>
      </c>
      <c r="E3022" s="52" t="s">
        <v>109</v>
      </c>
      <c r="F3022" s="46" t="s">
        <v>7001</v>
      </c>
      <c r="G3022" s="46" t="n">
        <f aca="false">+5930984086565</f>
        <v>5930984086565</v>
      </c>
      <c r="H3022" s="46" t="s">
        <v>7002</v>
      </c>
      <c r="I3022" s="46"/>
      <c r="J3022" s="1"/>
      <c r="K3022" s="1" t="s">
        <v>1156</v>
      </c>
      <c r="L3022" s="1" t="s">
        <v>1156</v>
      </c>
      <c r="M3022" s="1"/>
      <c r="N3022" s="1"/>
      <c r="O3022" s="1"/>
      <c r="P3022" s="6"/>
      <c r="Q3022" s="1"/>
      <c r="R3022" s="1"/>
      <c r="S3022" s="1"/>
      <c r="T3022" s="1"/>
      <c r="U3022" s="1"/>
      <c r="V3022" s="1"/>
      <c r="W3022" s="1"/>
      <c r="X3022" s="1"/>
      <c r="Y3022" s="1"/>
      <c r="Z3022" s="1"/>
    </row>
    <row r="3023" customFormat="false" ht="21.75" hidden="false" customHeight="true" outlineLevel="0" collapsed="false">
      <c r="A3023" s="4" t="n">
        <v>43504</v>
      </c>
      <c r="B3023" s="46" t="s">
        <v>1114</v>
      </c>
      <c r="C3023" s="46" t="s">
        <v>15</v>
      </c>
      <c r="D3023" s="52" t="s">
        <v>43</v>
      </c>
      <c r="E3023" s="52" t="s">
        <v>109</v>
      </c>
      <c r="F3023" s="46" t="s">
        <v>7003</v>
      </c>
      <c r="G3023" s="46" t="n">
        <f aca="false">+593969977230</f>
        <v>593969977230</v>
      </c>
      <c r="H3023" s="46" t="s">
        <v>7004</v>
      </c>
      <c r="I3023" s="46"/>
      <c r="J3023" s="1"/>
      <c r="K3023" s="1" t="s">
        <v>6914</v>
      </c>
      <c r="L3023" s="1"/>
      <c r="M3023" s="1"/>
      <c r="N3023" s="1"/>
      <c r="O3023" s="1"/>
      <c r="P3023" s="6"/>
      <c r="Q3023" s="1"/>
      <c r="R3023" s="1"/>
      <c r="S3023" s="1"/>
      <c r="T3023" s="1"/>
      <c r="U3023" s="1"/>
      <c r="V3023" s="1"/>
      <c r="W3023" s="1"/>
      <c r="X3023" s="1"/>
      <c r="Y3023" s="1"/>
      <c r="Z3023" s="1"/>
    </row>
    <row r="3024" customFormat="false" ht="21.75" hidden="false" customHeight="true" outlineLevel="0" collapsed="false">
      <c r="A3024" s="4" t="n">
        <v>43504</v>
      </c>
      <c r="B3024" s="46" t="s">
        <v>48</v>
      </c>
      <c r="C3024" s="46" t="s">
        <v>15</v>
      </c>
      <c r="D3024" s="52" t="s">
        <v>43</v>
      </c>
      <c r="E3024" s="52" t="s">
        <v>109</v>
      </c>
      <c r="F3024" s="46" t="s">
        <v>7005</v>
      </c>
      <c r="G3024" s="46" t="n">
        <f aca="false">+593990064382</f>
        <v>593990064382</v>
      </c>
      <c r="H3024" s="46" t="s">
        <v>7006</v>
      </c>
      <c r="I3024" s="46"/>
      <c r="J3024" s="1"/>
      <c r="K3024" s="1" t="s">
        <v>1149</v>
      </c>
      <c r="L3024" s="1" t="s">
        <v>1156</v>
      </c>
      <c r="M3024" s="1"/>
      <c r="N3024" s="1"/>
      <c r="O3024" s="1"/>
      <c r="P3024" s="6"/>
      <c r="Q3024" s="1"/>
      <c r="R3024" s="1"/>
      <c r="S3024" s="1"/>
      <c r="T3024" s="1"/>
      <c r="U3024" s="1"/>
      <c r="V3024" s="1"/>
      <c r="W3024" s="1"/>
      <c r="X3024" s="1"/>
      <c r="Y3024" s="1"/>
      <c r="Z3024" s="1"/>
    </row>
    <row r="3025" customFormat="false" ht="21.75" hidden="false" customHeight="true" outlineLevel="0" collapsed="false">
      <c r="A3025" s="4" t="n">
        <v>43504</v>
      </c>
      <c r="B3025" s="46" t="s">
        <v>415</v>
      </c>
      <c r="C3025" s="46" t="s">
        <v>15</v>
      </c>
      <c r="D3025" s="52" t="s">
        <v>43</v>
      </c>
      <c r="E3025" s="52" t="s">
        <v>109</v>
      </c>
      <c r="F3025" s="46" t="s">
        <v>7007</v>
      </c>
      <c r="G3025" s="46" t="n">
        <f aca="false">+593982681445</f>
        <v>593982681445</v>
      </c>
      <c r="H3025" s="46" t="s">
        <v>7008</v>
      </c>
      <c r="I3025" s="46"/>
      <c r="J3025" s="1"/>
      <c r="K3025" s="1" t="s">
        <v>7009</v>
      </c>
      <c r="L3025" s="1"/>
      <c r="M3025" s="1"/>
      <c r="N3025" s="1"/>
      <c r="O3025" s="1"/>
      <c r="P3025" s="6"/>
      <c r="Q3025" s="1"/>
      <c r="R3025" s="1"/>
      <c r="S3025" s="1"/>
      <c r="T3025" s="1"/>
      <c r="U3025" s="1"/>
      <c r="V3025" s="1"/>
      <c r="W3025" s="1"/>
      <c r="X3025" s="1"/>
      <c r="Y3025" s="1"/>
      <c r="Z3025" s="1"/>
    </row>
    <row r="3026" customFormat="false" ht="21.75" hidden="false" customHeight="true" outlineLevel="0" collapsed="false">
      <c r="A3026" s="4" t="n">
        <v>43504</v>
      </c>
      <c r="B3026" s="46" t="s">
        <v>127</v>
      </c>
      <c r="C3026" s="46" t="s">
        <v>15</v>
      </c>
      <c r="D3026" s="52" t="s">
        <v>43</v>
      </c>
      <c r="E3026" s="52" t="s">
        <v>109</v>
      </c>
      <c r="F3026" s="46" t="s">
        <v>7010</v>
      </c>
      <c r="G3026" s="46" t="n">
        <f aca="false">+5930994103405</f>
        <v>5930994103405</v>
      </c>
      <c r="H3026" s="46" t="s">
        <v>7011</v>
      </c>
      <c r="I3026" s="46"/>
      <c r="J3026" s="1"/>
      <c r="K3026" s="1" t="s">
        <v>21</v>
      </c>
      <c r="L3026" s="1" t="s">
        <v>1156</v>
      </c>
      <c r="M3026" s="1" t="s">
        <v>7012</v>
      </c>
      <c r="N3026" s="1"/>
      <c r="O3026" s="1"/>
      <c r="P3026" s="6"/>
      <c r="Q3026" s="1"/>
      <c r="R3026" s="1"/>
      <c r="S3026" s="1"/>
      <c r="T3026" s="1"/>
      <c r="U3026" s="1"/>
      <c r="V3026" s="1"/>
      <c r="W3026" s="1"/>
      <c r="X3026" s="1"/>
      <c r="Y3026" s="1"/>
      <c r="Z3026" s="1"/>
    </row>
    <row r="3027" customFormat="false" ht="21.75" hidden="false" customHeight="true" outlineLevel="0" collapsed="false">
      <c r="A3027" s="4" t="n">
        <v>43504</v>
      </c>
      <c r="B3027" s="46" t="s">
        <v>48</v>
      </c>
      <c r="C3027" s="46" t="s">
        <v>15</v>
      </c>
      <c r="D3027" s="52" t="s">
        <v>43</v>
      </c>
      <c r="E3027" s="52" t="s">
        <v>109</v>
      </c>
      <c r="F3027" s="46" t="s">
        <v>7013</v>
      </c>
      <c r="G3027" s="46" t="n">
        <f aca="false">+593978882552</f>
        <v>593978882552</v>
      </c>
      <c r="H3027" s="46" t="s">
        <v>7014</v>
      </c>
      <c r="I3027" s="46"/>
      <c r="J3027" s="1"/>
      <c r="K3027" s="1" t="s">
        <v>1144</v>
      </c>
      <c r="L3027" s="1"/>
      <c r="M3027" s="1"/>
      <c r="N3027" s="1"/>
      <c r="O3027" s="1"/>
      <c r="P3027" s="6"/>
      <c r="Q3027" s="1"/>
      <c r="R3027" s="1"/>
      <c r="S3027" s="1"/>
      <c r="T3027" s="1"/>
      <c r="U3027" s="1"/>
      <c r="V3027" s="1"/>
      <c r="W3027" s="1"/>
      <c r="X3027" s="1"/>
      <c r="Y3027" s="1"/>
      <c r="Z3027" s="1"/>
    </row>
    <row r="3028" customFormat="false" ht="21.75" hidden="false" customHeight="true" outlineLevel="0" collapsed="false">
      <c r="A3028" s="4" t="n">
        <v>43504</v>
      </c>
      <c r="B3028" s="46" t="s">
        <v>352</v>
      </c>
      <c r="C3028" s="46" t="s">
        <v>15</v>
      </c>
      <c r="D3028" s="52" t="s">
        <v>43</v>
      </c>
      <c r="E3028" s="52" t="s">
        <v>109</v>
      </c>
      <c r="F3028" s="46" t="s">
        <v>7015</v>
      </c>
      <c r="G3028" s="46" t="n">
        <f aca="false">+593042028989</f>
        <v>593042028989</v>
      </c>
      <c r="H3028" s="46" t="s">
        <v>7016</v>
      </c>
      <c r="I3028" s="46"/>
      <c r="J3028" s="1"/>
      <c r="K3028" s="1" t="s">
        <v>21</v>
      </c>
      <c r="L3028" s="1" t="s">
        <v>7017</v>
      </c>
      <c r="M3028" s="1"/>
      <c r="N3028" s="1"/>
      <c r="O3028" s="1"/>
      <c r="P3028" s="6"/>
      <c r="Q3028" s="1"/>
      <c r="R3028" s="1"/>
      <c r="S3028" s="1"/>
      <c r="T3028" s="1"/>
      <c r="U3028" s="1"/>
      <c r="V3028" s="1"/>
      <c r="W3028" s="1"/>
      <c r="X3028" s="1"/>
      <c r="Y3028" s="1"/>
      <c r="Z3028" s="1"/>
    </row>
    <row r="3029" customFormat="false" ht="21.75" hidden="false" customHeight="true" outlineLevel="0" collapsed="false">
      <c r="A3029" s="4" t="n">
        <v>43504</v>
      </c>
      <c r="B3029" s="46" t="s">
        <v>1831</v>
      </c>
      <c r="C3029" s="46" t="s">
        <v>15</v>
      </c>
      <c r="D3029" s="52" t="s">
        <v>43</v>
      </c>
      <c r="E3029" s="52" t="s">
        <v>109</v>
      </c>
      <c r="F3029" s="46" t="s">
        <v>7018</v>
      </c>
      <c r="G3029" s="46" t="n">
        <f aca="false">+59343480269</f>
        <v>59343480269</v>
      </c>
      <c r="H3029" s="46" t="s">
        <v>7019</v>
      </c>
      <c r="I3029" s="46"/>
      <c r="J3029" s="1"/>
      <c r="K3029" s="1" t="s">
        <v>21</v>
      </c>
      <c r="L3029" s="1" t="s">
        <v>1156</v>
      </c>
      <c r="M3029" s="1" t="s">
        <v>1149</v>
      </c>
      <c r="N3029" s="1"/>
      <c r="O3029" s="1"/>
      <c r="P3029" s="6"/>
      <c r="Q3029" s="1"/>
      <c r="R3029" s="1"/>
      <c r="S3029" s="1"/>
      <c r="T3029" s="1"/>
      <c r="U3029" s="1"/>
      <c r="V3029" s="1"/>
      <c r="W3029" s="1"/>
      <c r="X3029" s="1"/>
      <c r="Y3029" s="1"/>
      <c r="Z3029" s="1"/>
    </row>
    <row r="3030" customFormat="false" ht="21.75" hidden="false" customHeight="true" outlineLevel="0" collapsed="false">
      <c r="A3030" s="4" t="n">
        <v>43504</v>
      </c>
      <c r="B3030" s="46" t="s">
        <v>48</v>
      </c>
      <c r="C3030" s="46" t="s">
        <v>26</v>
      </c>
      <c r="D3030" s="52" t="s">
        <v>43</v>
      </c>
      <c r="E3030" s="52" t="s">
        <v>109</v>
      </c>
      <c r="F3030" s="46" t="s">
        <v>7020</v>
      </c>
      <c r="G3030" s="46" t="n">
        <f aca="false">+593968152945</f>
        <v>593968152945</v>
      </c>
      <c r="H3030" s="46" t="s">
        <v>7021</v>
      </c>
      <c r="I3030" s="46"/>
      <c r="J3030" s="1"/>
      <c r="K3030" s="1" t="s">
        <v>21</v>
      </c>
      <c r="L3030" s="1" t="s">
        <v>6616</v>
      </c>
      <c r="M3030" s="1"/>
      <c r="N3030" s="1"/>
      <c r="O3030" s="1"/>
      <c r="P3030" s="6"/>
      <c r="Q3030" s="1"/>
      <c r="R3030" s="1"/>
      <c r="S3030" s="1"/>
      <c r="T3030" s="1"/>
      <c r="U3030" s="1"/>
      <c r="V3030" s="1"/>
      <c r="W3030" s="1"/>
      <c r="X3030" s="1"/>
      <c r="Y3030" s="1"/>
      <c r="Z3030" s="1"/>
    </row>
    <row r="3031" customFormat="false" ht="21.75" hidden="false" customHeight="true" outlineLevel="0" collapsed="false">
      <c r="A3031" s="4" t="n">
        <v>43504</v>
      </c>
      <c r="B3031" s="46" t="s">
        <v>1478</v>
      </c>
      <c r="C3031" s="46" t="s">
        <v>26</v>
      </c>
      <c r="D3031" s="52" t="s">
        <v>43</v>
      </c>
      <c r="E3031" s="52" t="s">
        <v>109</v>
      </c>
      <c r="F3031" s="46" t="s">
        <v>7022</v>
      </c>
      <c r="G3031" s="46" t="n">
        <f aca="false">+593990243996</f>
        <v>593990243996</v>
      </c>
      <c r="H3031" s="46" t="s">
        <v>7023</v>
      </c>
      <c r="I3031" s="46"/>
      <c r="J3031" s="1"/>
      <c r="K3031" s="1" t="s">
        <v>2714</v>
      </c>
      <c r="L3031" s="1"/>
      <c r="M3031" s="1"/>
      <c r="N3031" s="1"/>
      <c r="O3031" s="1"/>
      <c r="P3031" s="6"/>
      <c r="Q3031" s="1"/>
      <c r="R3031" s="1"/>
      <c r="S3031" s="1"/>
      <c r="T3031" s="1"/>
      <c r="U3031" s="1"/>
      <c r="V3031" s="1"/>
      <c r="W3031" s="1"/>
      <c r="X3031" s="1"/>
      <c r="Y3031" s="1"/>
      <c r="Z3031" s="1"/>
    </row>
    <row r="3032" customFormat="false" ht="21.75" hidden="false" customHeight="true" outlineLevel="0" collapsed="false">
      <c r="A3032" s="4" t="n">
        <v>43504</v>
      </c>
      <c r="B3032" s="46" t="s">
        <v>81</v>
      </c>
      <c r="C3032" s="46" t="s">
        <v>15</v>
      </c>
      <c r="D3032" s="52" t="s">
        <v>43</v>
      </c>
      <c r="E3032" s="52" t="s">
        <v>109</v>
      </c>
      <c r="F3032" s="46" t="s">
        <v>7024</v>
      </c>
      <c r="G3032" s="46" t="n">
        <f aca="false">+593985602178</f>
        <v>593985602178</v>
      </c>
      <c r="H3032" s="46" t="s">
        <v>7025</v>
      </c>
      <c r="I3032" s="46"/>
      <c r="J3032" s="1"/>
      <c r="K3032" s="1" t="s">
        <v>7026</v>
      </c>
      <c r="L3032" s="1"/>
      <c r="M3032" s="1"/>
      <c r="N3032" s="1"/>
      <c r="O3032" s="1"/>
      <c r="P3032" s="6"/>
      <c r="Q3032" s="1"/>
      <c r="R3032" s="1"/>
      <c r="S3032" s="1"/>
      <c r="T3032" s="1"/>
      <c r="U3032" s="1"/>
      <c r="V3032" s="1"/>
      <c r="W3032" s="1"/>
      <c r="X3032" s="1"/>
      <c r="Y3032" s="1"/>
      <c r="Z3032" s="1"/>
    </row>
    <row r="3033" customFormat="false" ht="21.75" hidden="false" customHeight="true" outlineLevel="0" collapsed="false">
      <c r="A3033" s="4" t="n">
        <v>43504</v>
      </c>
      <c r="B3033" s="46" t="s">
        <v>1114</v>
      </c>
      <c r="C3033" s="46" t="s">
        <v>15</v>
      </c>
      <c r="D3033" s="52" t="s">
        <v>43</v>
      </c>
      <c r="E3033" s="52" t="s">
        <v>109</v>
      </c>
      <c r="F3033" s="46" t="s">
        <v>7027</v>
      </c>
      <c r="G3033" s="46" t="n">
        <f aca="false">+5930993101593</f>
        <v>5930993101593</v>
      </c>
      <c r="H3033" s="46" t="s">
        <v>7028</v>
      </c>
      <c r="I3033" s="46"/>
      <c r="J3033" s="1"/>
      <c r="K3033" s="1" t="s">
        <v>21</v>
      </c>
      <c r="L3033" s="1" t="s">
        <v>7029</v>
      </c>
      <c r="M3033" s="1"/>
      <c r="N3033" s="1"/>
      <c r="O3033" s="1"/>
      <c r="P3033" s="6"/>
      <c r="Q3033" s="1"/>
      <c r="R3033" s="1"/>
      <c r="S3033" s="1"/>
      <c r="T3033" s="1"/>
      <c r="U3033" s="1"/>
      <c r="V3033" s="1"/>
      <c r="W3033" s="1"/>
      <c r="X3033" s="1"/>
      <c r="Y3033" s="1"/>
      <c r="Z3033" s="1"/>
    </row>
    <row r="3034" customFormat="false" ht="21.75" hidden="false" customHeight="true" outlineLevel="0" collapsed="false">
      <c r="A3034" s="4" t="n">
        <v>43504</v>
      </c>
      <c r="B3034" s="46" t="s">
        <v>1114</v>
      </c>
      <c r="C3034" s="46" t="s">
        <v>26</v>
      </c>
      <c r="D3034" s="52" t="s">
        <v>43</v>
      </c>
      <c r="E3034" s="52" t="s">
        <v>109</v>
      </c>
      <c r="F3034" s="46" t="s">
        <v>7030</v>
      </c>
      <c r="G3034" s="46" t="n">
        <f aca="false">+593993668729</f>
        <v>593993668729</v>
      </c>
      <c r="H3034" s="46" t="s">
        <v>7031</v>
      </c>
      <c r="I3034" s="46"/>
      <c r="J3034" s="1"/>
      <c r="K3034" s="1" t="s">
        <v>21</v>
      </c>
      <c r="L3034" s="1" t="s">
        <v>1156</v>
      </c>
      <c r="M3034" s="1" t="s">
        <v>1156</v>
      </c>
      <c r="N3034" s="1"/>
      <c r="O3034" s="1"/>
      <c r="P3034" s="6"/>
      <c r="Q3034" s="1"/>
      <c r="R3034" s="1"/>
      <c r="S3034" s="1"/>
      <c r="T3034" s="1"/>
      <c r="U3034" s="1"/>
      <c r="V3034" s="1"/>
      <c r="W3034" s="1"/>
      <c r="X3034" s="1"/>
      <c r="Y3034" s="1"/>
      <c r="Z3034" s="1"/>
    </row>
    <row r="3035" customFormat="false" ht="21.75" hidden="false" customHeight="true" outlineLevel="0" collapsed="false">
      <c r="A3035" s="4" t="n">
        <v>43504</v>
      </c>
      <c r="B3035" s="46" t="s">
        <v>48</v>
      </c>
      <c r="C3035" s="46" t="s">
        <v>26</v>
      </c>
      <c r="D3035" s="52" t="s">
        <v>43</v>
      </c>
      <c r="E3035" s="52" t="s">
        <v>109</v>
      </c>
      <c r="F3035" s="46" t="s">
        <v>7032</v>
      </c>
      <c r="G3035" s="46" t="n">
        <f aca="false">+593994784264</f>
        <v>593994784264</v>
      </c>
      <c r="H3035" s="46" t="s">
        <v>7033</v>
      </c>
      <c r="I3035" s="46"/>
      <c r="J3035" s="1"/>
      <c r="K3035" s="1" t="s">
        <v>21</v>
      </c>
      <c r="L3035" s="1" t="s">
        <v>6616</v>
      </c>
      <c r="M3035" s="1"/>
      <c r="N3035" s="1"/>
      <c r="O3035" s="1"/>
      <c r="P3035" s="6"/>
      <c r="Q3035" s="1"/>
      <c r="R3035" s="1"/>
      <c r="S3035" s="1"/>
      <c r="T3035" s="1"/>
      <c r="U3035" s="1"/>
      <c r="V3035" s="1"/>
      <c r="W3035" s="1"/>
      <c r="X3035" s="1"/>
      <c r="Y3035" s="1"/>
      <c r="Z3035" s="1"/>
    </row>
    <row r="3036" customFormat="false" ht="21.75" hidden="false" customHeight="true" outlineLevel="0" collapsed="false">
      <c r="A3036" s="4" t="n">
        <v>43504</v>
      </c>
      <c r="B3036" s="46" t="s">
        <v>415</v>
      </c>
      <c r="C3036" s="46" t="s">
        <v>15</v>
      </c>
      <c r="D3036" s="52" t="s">
        <v>43</v>
      </c>
      <c r="E3036" s="52" t="s">
        <v>109</v>
      </c>
      <c r="F3036" s="46" t="s">
        <v>7034</v>
      </c>
      <c r="G3036" s="46" t="n">
        <f aca="false">+593985071130</f>
        <v>593985071130</v>
      </c>
      <c r="H3036" s="46" t="s">
        <v>7035</v>
      </c>
      <c r="I3036" s="46"/>
      <c r="J3036" s="1"/>
      <c r="K3036" s="1" t="s">
        <v>7036</v>
      </c>
      <c r="L3036" s="1"/>
      <c r="M3036" s="1"/>
      <c r="N3036" s="1"/>
      <c r="O3036" s="1"/>
      <c r="P3036" s="6"/>
      <c r="Q3036" s="1"/>
      <c r="R3036" s="1"/>
      <c r="S3036" s="1"/>
      <c r="T3036" s="1"/>
      <c r="U3036" s="1"/>
      <c r="V3036" s="1"/>
      <c r="W3036" s="1"/>
      <c r="X3036" s="1"/>
      <c r="Y3036" s="1"/>
      <c r="Z3036" s="1"/>
    </row>
    <row r="3037" customFormat="false" ht="21.75" hidden="false" customHeight="true" outlineLevel="0" collapsed="false">
      <c r="A3037" s="4" t="n">
        <v>43504</v>
      </c>
      <c r="B3037" s="53" t="s">
        <v>48</v>
      </c>
      <c r="C3037" s="46" t="s">
        <v>15</v>
      </c>
      <c r="D3037" s="52" t="s">
        <v>43</v>
      </c>
      <c r="E3037" s="52" t="s">
        <v>44</v>
      </c>
      <c r="F3037" s="46" t="s">
        <v>7037</v>
      </c>
      <c r="G3037" s="46" t="n">
        <f aca="false">+593994029746</f>
        <v>593994029746</v>
      </c>
      <c r="H3037" s="46" t="s">
        <v>7038</v>
      </c>
      <c r="I3037" s="46"/>
      <c r="J3037" s="1"/>
      <c r="K3037" s="1" t="s">
        <v>21</v>
      </c>
      <c r="L3037" s="1" t="s">
        <v>1156</v>
      </c>
      <c r="M3037" s="1" t="s">
        <v>1156</v>
      </c>
      <c r="N3037" s="1"/>
      <c r="O3037" s="1"/>
      <c r="P3037" s="6"/>
      <c r="Q3037" s="1"/>
      <c r="R3037" s="1"/>
      <c r="S3037" s="1"/>
      <c r="T3037" s="1"/>
      <c r="U3037" s="1"/>
      <c r="V3037" s="1"/>
      <c r="W3037" s="1"/>
      <c r="X3037" s="1"/>
      <c r="Y3037" s="1"/>
      <c r="Z3037" s="1"/>
    </row>
    <row r="3038" customFormat="false" ht="21.75" hidden="false" customHeight="true" outlineLevel="0" collapsed="false">
      <c r="A3038" s="4" t="n">
        <v>43504</v>
      </c>
      <c r="B3038" s="53" t="s">
        <v>48</v>
      </c>
      <c r="C3038" s="46" t="s">
        <v>15</v>
      </c>
      <c r="D3038" s="52" t="s">
        <v>43</v>
      </c>
      <c r="E3038" s="52" t="s">
        <v>44</v>
      </c>
      <c r="F3038" s="46" t="s">
        <v>7039</v>
      </c>
      <c r="G3038" s="46" t="n">
        <f aca="false">+593968244888</f>
        <v>593968244888</v>
      </c>
      <c r="H3038" s="46" t="s">
        <v>7040</v>
      </c>
      <c r="I3038" s="46"/>
      <c r="J3038" s="1"/>
      <c r="K3038" s="1" t="s">
        <v>21</v>
      </c>
      <c r="L3038" s="1" t="s">
        <v>6619</v>
      </c>
      <c r="M3038" s="1"/>
      <c r="N3038" s="1"/>
      <c r="O3038" s="1"/>
      <c r="P3038" s="6"/>
      <c r="Q3038" s="1"/>
      <c r="R3038" s="1"/>
      <c r="S3038" s="1"/>
      <c r="T3038" s="1"/>
      <c r="U3038" s="1"/>
      <c r="V3038" s="1"/>
      <c r="W3038" s="1"/>
      <c r="X3038" s="1"/>
      <c r="Y3038" s="1"/>
      <c r="Z3038" s="1"/>
    </row>
    <row r="3039" customFormat="false" ht="21.75" hidden="false" customHeight="true" outlineLevel="0" collapsed="false">
      <c r="A3039" s="4" t="n">
        <v>43504</v>
      </c>
      <c r="B3039" s="53" t="s">
        <v>48</v>
      </c>
      <c r="C3039" s="46" t="s">
        <v>15</v>
      </c>
      <c r="D3039" s="52" t="s">
        <v>43</v>
      </c>
      <c r="E3039" s="52" t="s">
        <v>44</v>
      </c>
      <c r="F3039" s="46" t="s">
        <v>7041</v>
      </c>
      <c r="G3039" s="46" t="n">
        <f aca="false">+593958940276</f>
        <v>593958940276</v>
      </c>
      <c r="H3039" s="46" t="s">
        <v>7042</v>
      </c>
      <c r="I3039" s="46"/>
      <c r="J3039" s="1"/>
      <c r="K3039" s="1" t="s">
        <v>7043</v>
      </c>
      <c r="L3039" s="1"/>
      <c r="M3039" s="1"/>
      <c r="N3039" s="1"/>
      <c r="O3039" s="1"/>
      <c r="P3039" s="6"/>
      <c r="Q3039" s="1"/>
      <c r="R3039" s="1"/>
      <c r="S3039" s="1"/>
      <c r="T3039" s="1"/>
      <c r="U3039" s="1"/>
      <c r="V3039" s="1"/>
      <c r="W3039" s="1"/>
      <c r="X3039" s="1"/>
      <c r="Y3039" s="1"/>
      <c r="Z3039" s="1"/>
    </row>
    <row r="3040" customFormat="false" ht="21.75" hidden="false" customHeight="true" outlineLevel="0" collapsed="false">
      <c r="A3040" s="4" t="n">
        <v>43504</v>
      </c>
      <c r="B3040" s="53" t="s">
        <v>127</v>
      </c>
      <c r="C3040" s="46" t="s">
        <v>15</v>
      </c>
      <c r="D3040" s="52" t="s">
        <v>43</v>
      </c>
      <c r="E3040" s="52" t="s">
        <v>44</v>
      </c>
      <c r="F3040" s="46" t="s">
        <v>7044</v>
      </c>
      <c r="G3040" s="46" t="n">
        <f aca="false">+593990308574</f>
        <v>593990308574</v>
      </c>
      <c r="H3040" s="46" t="s">
        <v>7045</v>
      </c>
      <c r="I3040" s="46"/>
      <c r="J3040" s="1"/>
      <c r="K3040" s="1" t="s">
        <v>1065</v>
      </c>
      <c r="L3040" s="1"/>
      <c r="M3040" s="1"/>
      <c r="N3040" s="1"/>
      <c r="O3040" s="1"/>
      <c r="P3040" s="6"/>
      <c r="Q3040" s="1"/>
      <c r="R3040" s="1"/>
      <c r="S3040" s="1"/>
      <c r="T3040" s="1"/>
      <c r="U3040" s="1"/>
      <c r="V3040" s="1"/>
      <c r="W3040" s="1"/>
      <c r="X3040" s="1"/>
      <c r="Y3040" s="1"/>
      <c r="Z3040" s="1"/>
    </row>
    <row r="3041" customFormat="false" ht="21.75" hidden="false" customHeight="true" outlineLevel="0" collapsed="false">
      <c r="A3041" s="4" t="n">
        <v>43504</v>
      </c>
      <c r="B3041" s="53" t="s">
        <v>42</v>
      </c>
      <c r="C3041" s="46" t="s">
        <v>15</v>
      </c>
      <c r="D3041" s="52" t="s">
        <v>43</v>
      </c>
      <c r="E3041" s="52" t="s">
        <v>44</v>
      </c>
      <c r="F3041" s="46" t="s">
        <v>7046</v>
      </c>
      <c r="G3041" s="46" t="n">
        <f aca="false">+593984585432</f>
        <v>593984585432</v>
      </c>
      <c r="H3041" s="46" t="s">
        <v>7047</v>
      </c>
      <c r="I3041" s="46"/>
      <c r="J3041" s="1"/>
      <c r="K3041" s="1" t="s">
        <v>2714</v>
      </c>
      <c r="L3041" s="1"/>
      <c r="M3041" s="1"/>
      <c r="N3041" s="1"/>
      <c r="O3041" s="1"/>
      <c r="P3041" s="6"/>
      <c r="Q3041" s="1"/>
      <c r="R3041" s="1"/>
      <c r="S3041" s="1"/>
      <c r="T3041" s="1"/>
      <c r="U3041" s="1"/>
      <c r="V3041" s="1"/>
      <c r="W3041" s="1"/>
      <c r="X3041" s="1"/>
      <c r="Y3041" s="1"/>
      <c r="Z3041" s="1"/>
    </row>
    <row r="3042" customFormat="false" ht="21.75" hidden="false" customHeight="true" outlineLevel="0" collapsed="false">
      <c r="A3042" s="4" t="n">
        <v>43504</v>
      </c>
      <c r="B3042" s="53" t="s">
        <v>42</v>
      </c>
      <c r="C3042" s="46" t="s">
        <v>15</v>
      </c>
      <c r="D3042" s="52" t="s">
        <v>43</v>
      </c>
      <c r="E3042" s="52" t="s">
        <v>44</v>
      </c>
      <c r="F3042" s="46" t="s">
        <v>7048</v>
      </c>
      <c r="G3042" s="46" t="n">
        <f aca="false">+5930987792296</f>
        <v>5930987792296</v>
      </c>
      <c r="H3042" s="46" t="s">
        <v>7049</v>
      </c>
      <c r="I3042" s="46"/>
      <c r="J3042" s="1"/>
      <c r="K3042" s="1" t="s">
        <v>21</v>
      </c>
      <c r="L3042" s="1" t="s">
        <v>7050</v>
      </c>
      <c r="M3042" s="1"/>
      <c r="N3042" s="1"/>
      <c r="O3042" s="1"/>
      <c r="P3042" s="6"/>
      <c r="Q3042" s="1"/>
      <c r="R3042" s="1"/>
      <c r="S3042" s="1"/>
      <c r="T3042" s="1"/>
      <c r="U3042" s="1"/>
      <c r="V3042" s="1"/>
      <c r="W3042" s="1"/>
      <c r="X3042" s="1"/>
      <c r="Y3042" s="1"/>
      <c r="Z3042" s="1"/>
    </row>
    <row r="3043" customFormat="false" ht="21.75" hidden="false" customHeight="true" outlineLevel="0" collapsed="false">
      <c r="A3043" s="4" t="n">
        <v>43504</v>
      </c>
      <c r="B3043" s="53" t="s">
        <v>42</v>
      </c>
      <c r="C3043" s="46" t="s">
        <v>26</v>
      </c>
      <c r="D3043" s="52" t="s">
        <v>43</v>
      </c>
      <c r="E3043" s="52" t="s">
        <v>44</v>
      </c>
      <c r="F3043" s="46" t="s">
        <v>7051</v>
      </c>
      <c r="G3043" s="46" t="n">
        <f aca="false">+593990363609</f>
        <v>593990363609</v>
      </c>
      <c r="H3043" s="46" t="s">
        <v>7052</v>
      </c>
      <c r="I3043" s="46"/>
      <c r="J3043" s="1"/>
      <c r="K3043" s="1" t="s">
        <v>1365</v>
      </c>
      <c r="L3043" s="1"/>
      <c r="M3043" s="1"/>
      <c r="N3043" s="1"/>
      <c r="O3043" s="1"/>
      <c r="P3043" s="6"/>
      <c r="Q3043" s="1"/>
      <c r="R3043" s="1"/>
      <c r="S3043" s="1"/>
      <c r="T3043" s="1"/>
      <c r="U3043" s="1"/>
      <c r="V3043" s="1"/>
      <c r="W3043" s="1"/>
      <c r="X3043" s="1"/>
      <c r="Y3043" s="1"/>
      <c r="Z3043" s="1"/>
    </row>
    <row r="3044" customFormat="false" ht="21.75" hidden="false" customHeight="true" outlineLevel="0" collapsed="false">
      <c r="A3044" s="4" t="n">
        <v>43504</v>
      </c>
      <c r="B3044" s="53" t="s">
        <v>178</v>
      </c>
      <c r="C3044" s="46" t="s">
        <v>15</v>
      </c>
      <c r="D3044" s="52" t="s">
        <v>43</v>
      </c>
      <c r="E3044" s="52" t="s">
        <v>44</v>
      </c>
      <c r="F3044" s="46" t="s">
        <v>7053</v>
      </c>
      <c r="G3044" s="46" t="n">
        <f aca="false">+593969608813</f>
        <v>593969608813</v>
      </c>
      <c r="H3044" s="46" t="s">
        <v>7054</v>
      </c>
      <c r="I3044" s="46"/>
      <c r="J3044" s="1"/>
      <c r="K3044" s="1" t="s">
        <v>7055</v>
      </c>
      <c r="L3044" s="1"/>
      <c r="M3044" s="1"/>
      <c r="N3044" s="1"/>
      <c r="O3044" s="1"/>
      <c r="P3044" s="6"/>
      <c r="Q3044" s="1"/>
      <c r="R3044" s="1"/>
      <c r="S3044" s="1"/>
      <c r="T3044" s="1"/>
      <c r="U3044" s="1"/>
      <c r="V3044" s="1"/>
      <c r="W3044" s="1"/>
      <c r="X3044" s="1"/>
      <c r="Y3044" s="1"/>
      <c r="Z3044" s="1"/>
    </row>
    <row r="3045" customFormat="false" ht="21.75" hidden="false" customHeight="true" outlineLevel="0" collapsed="false">
      <c r="A3045" s="4" t="n">
        <v>43504</v>
      </c>
      <c r="B3045" s="53" t="s">
        <v>178</v>
      </c>
      <c r="C3045" s="46" t="s">
        <v>15</v>
      </c>
      <c r="D3045" s="52" t="s">
        <v>43</v>
      </c>
      <c r="E3045" s="52" t="s">
        <v>44</v>
      </c>
      <c r="F3045" s="46" t="s">
        <v>7056</v>
      </c>
      <c r="G3045" s="46" t="n">
        <f aca="false">+593995666772</f>
        <v>593995666772</v>
      </c>
      <c r="H3045" s="46" t="s">
        <v>7057</v>
      </c>
      <c r="I3045" s="46"/>
      <c r="J3045" s="1"/>
      <c r="K3045" s="1" t="s">
        <v>7058</v>
      </c>
      <c r="L3045" s="1"/>
      <c r="M3045" s="1"/>
      <c r="N3045" s="1"/>
      <c r="O3045" s="1"/>
      <c r="P3045" s="6"/>
      <c r="Q3045" s="1"/>
      <c r="R3045" s="1"/>
      <c r="S3045" s="1"/>
      <c r="T3045" s="1"/>
      <c r="U3045" s="1"/>
      <c r="V3045" s="1"/>
      <c r="W3045" s="1"/>
      <c r="X3045" s="1"/>
      <c r="Y3045" s="1"/>
      <c r="Z3045" s="1"/>
    </row>
    <row r="3046" customFormat="false" ht="21.75" hidden="false" customHeight="true" outlineLevel="0" collapsed="false">
      <c r="A3046" s="4" t="n">
        <v>43504</v>
      </c>
      <c r="B3046" s="53" t="s">
        <v>81</v>
      </c>
      <c r="C3046" s="46" t="s">
        <v>15</v>
      </c>
      <c r="D3046" s="52" t="s">
        <v>43</v>
      </c>
      <c r="E3046" s="52" t="s">
        <v>44</v>
      </c>
      <c r="F3046" s="46" t="s">
        <v>7059</v>
      </c>
      <c r="G3046" s="46" t="n">
        <f aca="false">+593984895338</f>
        <v>593984895338</v>
      </c>
      <c r="H3046" s="46" t="s">
        <v>7060</v>
      </c>
      <c r="I3046" s="46"/>
      <c r="J3046" s="1"/>
      <c r="K3046" s="1" t="s">
        <v>21</v>
      </c>
      <c r="L3046" s="1" t="s">
        <v>1149</v>
      </c>
      <c r="M3046" s="46" t="n">
        <f aca="false">+593984895338</f>
        <v>593984895338</v>
      </c>
      <c r="N3046" s="1"/>
      <c r="O3046" s="1"/>
      <c r="P3046" s="6"/>
      <c r="Q3046" s="1"/>
      <c r="R3046" s="1"/>
      <c r="S3046" s="1"/>
      <c r="T3046" s="1"/>
      <c r="U3046" s="1"/>
      <c r="V3046" s="1"/>
      <c r="W3046" s="1"/>
      <c r="X3046" s="1"/>
      <c r="Y3046" s="1"/>
      <c r="Z3046" s="1"/>
    </row>
    <row r="3047" customFormat="false" ht="21.75" hidden="false" customHeight="true" outlineLevel="0" collapsed="false">
      <c r="A3047" s="4" t="n">
        <v>43504</v>
      </c>
      <c r="B3047" s="53" t="s">
        <v>166</v>
      </c>
      <c r="C3047" s="46" t="s">
        <v>15</v>
      </c>
      <c r="D3047" s="46" t="s">
        <v>16</v>
      </c>
      <c r="E3047" s="46" t="s">
        <v>17</v>
      </c>
      <c r="F3047" s="46" t="s">
        <v>7061</v>
      </c>
      <c r="G3047" s="46" t="n">
        <f aca="false">+593993071069</f>
        <v>593993071069</v>
      </c>
      <c r="H3047" s="46" t="s">
        <v>7062</v>
      </c>
      <c r="I3047" s="46"/>
      <c r="J3047" s="1"/>
      <c r="K3047" s="1" t="s">
        <v>3372</v>
      </c>
      <c r="L3047" s="1"/>
      <c r="M3047" s="1"/>
      <c r="N3047" s="1"/>
      <c r="O3047" s="1"/>
      <c r="P3047" s="6"/>
      <c r="Q3047" s="1"/>
      <c r="R3047" s="1"/>
      <c r="S3047" s="1"/>
      <c r="T3047" s="1"/>
      <c r="U3047" s="1"/>
      <c r="V3047" s="1"/>
      <c r="W3047" s="1"/>
      <c r="X3047" s="1"/>
      <c r="Y3047" s="1"/>
      <c r="Z3047" s="1"/>
    </row>
    <row r="3048" customFormat="false" ht="21.75" hidden="false" customHeight="true" outlineLevel="0" collapsed="false">
      <c r="A3048" s="4" t="n">
        <v>43504</v>
      </c>
      <c r="B3048" s="53" t="s">
        <v>166</v>
      </c>
      <c r="C3048" s="46" t="s">
        <v>15</v>
      </c>
      <c r="D3048" s="46" t="s">
        <v>16</v>
      </c>
      <c r="E3048" s="46" t="s">
        <v>17</v>
      </c>
      <c r="F3048" s="46" t="s">
        <v>7063</v>
      </c>
      <c r="G3048" s="46" t="n">
        <f aca="false">+593989862215</f>
        <v>593989862215</v>
      </c>
      <c r="H3048" s="46" t="s">
        <v>7064</v>
      </c>
      <c r="I3048" s="46"/>
      <c r="J3048" s="1"/>
      <c r="K3048" s="1" t="s">
        <v>3380</v>
      </c>
      <c r="L3048" s="1"/>
      <c r="M3048" s="1"/>
      <c r="N3048" s="1"/>
      <c r="O3048" s="1"/>
      <c r="P3048" s="6"/>
      <c r="Q3048" s="1"/>
      <c r="R3048" s="1"/>
      <c r="S3048" s="1"/>
      <c r="T3048" s="1"/>
      <c r="U3048" s="1"/>
      <c r="V3048" s="1"/>
      <c r="W3048" s="1"/>
      <c r="X3048" s="1"/>
      <c r="Y3048" s="1"/>
      <c r="Z3048" s="1"/>
    </row>
    <row r="3049" customFormat="false" ht="21.75" hidden="false" customHeight="true" outlineLevel="0" collapsed="false">
      <c r="A3049" s="4" t="n">
        <v>43504</v>
      </c>
      <c r="B3049" s="53" t="s">
        <v>86</v>
      </c>
      <c r="C3049" s="46" t="s">
        <v>15</v>
      </c>
      <c r="D3049" s="46" t="s">
        <v>16</v>
      </c>
      <c r="E3049" s="46" t="s">
        <v>17</v>
      </c>
      <c r="F3049" s="46" t="s">
        <v>7065</v>
      </c>
      <c r="G3049" s="46" t="n">
        <f aca="false">+593993130220</f>
        <v>593993130220</v>
      </c>
      <c r="H3049" s="46" t="s">
        <v>7066</v>
      </c>
      <c r="I3049" s="46"/>
      <c r="J3049" s="1"/>
      <c r="K3049" s="1" t="s">
        <v>3404</v>
      </c>
      <c r="L3049" s="1"/>
      <c r="M3049" s="1"/>
      <c r="N3049" s="1"/>
      <c r="O3049" s="1"/>
      <c r="P3049" s="6"/>
      <c r="Q3049" s="1"/>
      <c r="R3049" s="1"/>
      <c r="S3049" s="1"/>
      <c r="T3049" s="1"/>
      <c r="U3049" s="1"/>
      <c r="V3049" s="1"/>
      <c r="W3049" s="1"/>
      <c r="X3049" s="1"/>
      <c r="Y3049" s="1"/>
      <c r="Z3049" s="1"/>
    </row>
    <row r="3050" customFormat="false" ht="21.75" hidden="false" customHeight="true" outlineLevel="0" collapsed="false">
      <c r="A3050" s="4" t="n">
        <v>43504</v>
      </c>
      <c r="B3050" s="53" t="s">
        <v>14</v>
      </c>
      <c r="C3050" s="46" t="s">
        <v>15</v>
      </c>
      <c r="D3050" s="46" t="s">
        <v>16</v>
      </c>
      <c r="E3050" s="46" t="s">
        <v>17</v>
      </c>
      <c r="F3050" s="46" t="s">
        <v>7067</v>
      </c>
      <c r="G3050" s="46" t="n">
        <f aca="false">+593984606840</f>
        <v>593984606840</v>
      </c>
      <c r="H3050" s="46" t="s">
        <v>7068</v>
      </c>
      <c r="I3050" s="46"/>
      <c r="J3050" s="1"/>
      <c r="K3050" s="1" t="s">
        <v>3372</v>
      </c>
      <c r="L3050" s="1"/>
      <c r="M3050" s="1"/>
      <c r="N3050" s="1"/>
      <c r="O3050" s="1"/>
      <c r="P3050" s="6"/>
      <c r="Q3050" s="1"/>
      <c r="R3050" s="1"/>
      <c r="S3050" s="1"/>
      <c r="T3050" s="1"/>
      <c r="U3050" s="1"/>
      <c r="V3050" s="1"/>
      <c r="W3050" s="1"/>
      <c r="X3050" s="1"/>
      <c r="Y3050" s="1"/>
      <c r="Z3050" s="1"/>
    </row>
    <row r="3051" customFormat="false" ht="21.75" hidden="false" customHeight="true" outlineLevel="0" collapsed="false">
      <c r="A3051" s="4" t="n">
        <v>43504</v>
      </c>
      <c r="B3051" s="53" t="s">
        <v>14</v>
      </c>
      <c r="C3051" s="46" t="s">
        <v>15</v>
      </c>
      <c r="D3051" s="46" t="s">
        <v>16</v>
      </c>
      <c r="E3051" s="46" t="s">
        <v>17</v>
      </c>
      <c r="F3051" s="46" t="s">
        <v>7069</v>
      </c>
      <c r="G3051" s="46" t="n">
        <f aca="false">+593996717428</f>
        <v>593996717428</v>
      </c>
      <c r="H3051" s="46" t="s">
        <v>7070</v>
      </c>
      <c r="I3051" s="46"/>
      <c r="J3051" s="1"/>
      <c r="K3051" s="1" t="s">
        <v>3372</v>
      </c>
      <c r="L3051" s="1"/>
      <c r="M3051" s="1"/>
      <c r="N3051" s="1"/>
      <c r="O3051" s="1"/>
      <c r="P3051" s="6"/>
      <c r="Q3051" s="1"/>
      <c r="R3051" s="1"/>
      <c r="S3051" s="1"/>
      <c r="T3051" s="1"/>
      <c r="U3051" s="1"/>
      <c r="V3051" s="1"/>
      <c r="W3051" s="1"/>
      <c r="X3051" s="1"/>
      <c r="Y3051" s="1"/>
      <c r="Z3051" s="1"/>
    </row>
    <row r="3052" customFormat="false" ht="21.75" hidden="false" customHeight="true" outlineLevel="0" collapsed="false">
      <c r="A3052" s="4" t="n">
        <v>43504</v>
      </c>
      <c r="B3052" s="53" t="s">
        <v>911</v>
      </c>
      <c r="C3052" s="46" t="s">
        <v>15</v>
      </c>
      <c r="D3052" s="46" t="s">
        <v>16</v>
      </c>
      <c r="E3052" s="46" t="s">
        <v>17</v>
      </c>
      <c r="F3052" s="50" t="s">
        <v>7071</v>
      </c>
      <c r="G3052" s="51" t="n">
        <v>991167692</v>
      </c>
      <c r="H3052" s="51" t="n">
        <v>991167692</v>
      </c>
      <c r="I3052" s="52"/>
      <c r="J3052" s="1"/>
      <c r="K3052" s="1" t="s">
        <v>21</v>
      </c>
      <c r="L3052" s="1"/>
      <c r="M3052" s="1"/>
      <c r="N3052" s="1"/>
      <c r="O3052" s="1"/>
      <c r="P3052" s="6"/>
      <c r="Q3052" s="1"/>
      <c r="R3052" s="1"/>
      <c r="S3052" s="1"/>
      <c r="T3052" s="1"/>
      <c r="U3052" s="1"/>
      <c r="V3052" s="1"/>
      <c r="W3052" s="1"/>
      <c r="X3052" s="1"/>
      <c r="Y3052" s="1"/>
      <c r="Z3052" s="1"/>
    </row>
    <row r="3053" customFormat="false" ht="21.75" hidden="false" customHeight="true" outlineLevel="0" collapsed="false">
      <c r="A3053" s="4" t="n">
        <v>43504</v>
      </c>
      <c r="B3053" s="53" t="s">
        <v>48</v>
      </c>
      <c r="C3053" s="46" t="s">
        <v>15</v>
      </c>
      <c r="D3053" s="46" t="s">
        <v>43</v>
      </c>
      <c r="E3053" s="46" t="s">
        <v>44</v>
      </c>
      <c r="F3053" s="50" t="s">
        <v>7072</v>
      </c>
      <c r="G3053" s="51" t="n">
        <v>999896338</v>
      </c>
      <c r="H3053" s="51" t="n">
        <v>999896338</v>
      </c>
      <c r="I3053" s="52"/>
      <c r="J3053" s="1"/>
      <c r="K3053" s="1" t="s">
        <v>1156</v>
      </c>
      <c r="L3053" s="1" t="s">
        <v>1149</v>
      </c>
      <c r="M3053" s="1"/>
      <c r="N3053" s="1"/>
      <c r="O3053" s="1"/>
      <c r="P3053" s="6"/>
      <c r="Q3053" s="1"/>
      <c r="R3053" s="1"/>
      <c r="S3053" s="1"/>
      <c r="T3053" s="1"/>
      <c r="U3053" s="1"/>
      <c r="V3053" s="1"/>
      <c r="W3053" s="1"/>
      <c r="X3053" s="1"/>
      <c r="Y3053" s="1"/>
      <c r="Z3053" s="1"/>
    </row>
    <row r="3054" customFormat="false" ht="21.75" hidden="false" customHeight="true" outlineLevel="0" collapsed="false">
      <c r="A3054" s="4" t="n">
        <v>43504</v>
      </c>
      <c r="B3054" s="53" t="s">
        <v>1114</v>
      </c>
      <c r="C3054" s="46" t="s">
        <v>15</v>
      </c>
      <c r="D3054" s="46" t="s">
        <v>43</v>
      </c>
      <c r="E3054" s="46" t="s">
        <v>109</v>
      </c>
      <c r="F3054" s="50" t="s">
        <v>7073</v>
      </c>
      <c r="G3054" s="51" t="n">
        <v>42809979</v>
      </c>
      <c r="H3054" s="51" t="n">
        <v>42809979</v>
      </c>
      <c r="I3054" s="52"/>
      <c r="J3054" s="1"/>
      <c r="K3054" s="1" t="s">
        <v>6478</v>
      </c>
      <c r="L3054" s="1"/>
      <c r="M3054" s="1"/>
      <c r="N3054" s="1"/>
      <c r="O3054" s="1"/>
      <c r="P3054" s="6"/>
      <c r="Q3054" s="1"/>
      <c r="R3054" s="1"/>
      <c r="S3054" s="1"/>
      <c r="T3054" s="1"/>
      <c r="U3054" s="1"/>
      <c r="V3054" s="1"/>
      <c r="W3054" s="1"/>
      <c r="X3054" s="1"/>
      <c r="Y3054" s="1"/>
      <c r="Z3054" s="1"/>
    </row>
    <row r="3055" customFormat="false" ht="21.75" hidden="false" customHeight="true" outlineLevel="0" collapsed="false">
      <c r="A3055" s="4" t="n">
        <v>43504</v>
      </c>
      <c r="B3055" s="53" t="s">
        <v>1114</v>
      </c>
      <c r="C3055" s="46" t="s">
        <v>15</v>
      </c>
      <c r="D3055" s="46" t="s">
        <v>43</v>
      </c>
      <c r="E3055" s="46" t="s">
        <v>109</v>
      </c>
      <c r="F3055" s="50" t="s">
        <v>7074</v>
      </c>
      <c r="G3055" s="51" t="n">
        <v>968207716</v>
      </c>
      <c r="H3055" s="51" t="n">
        <v>968207716</v>
      </c>
      <c r="I3055" s="52"/>
      <c r="J3055" s="1"/>
      <c r="K3055" s="1" t="s">
        <v>7075</v>
      </c>
      <c r="L3055" s="1"/>
      <c r="M3055" s="1"/>
      <c r="N3055" s="1"/>
      <c r="O3055" s="1"/>
      <c r="P3055" s="6"/>
      <c r="Q3055" s="1"/>
      <c r="R3055" s="1"/>
      <c r="S3055" s="1"/>
      <c r="T3055" s="1"/>
      <c r="U3055" s="1"/>
      <c r="V3055" s="1"/>
      <c r="W3055" s="1"/>
      <c r="X3055" s="1"/>
      <c r="Y3055" s="1"/>
      <c r="Z3055" s="1"/>
    </row>
    <row r="3056" customFormat="false" ht="21.75" hidden="false" customHeight="true" outlineLevel="0" collapsed="false">
      <c r="A3056" s="4" t="n">
        <v>43504</v>
      </c>
      <c r="B3056" s="53" t="s">
        <v>1114</v>
      </c>
      <c r="C3056" s="46" t="s">
        <v>15</v>
      </c>
      <c r="D3056" s="46" t="s">
        <v>43</v>
      </c>
      <c r="E3056" s="46" t="s">
        <v>109</v>
      </c>
      <c r="F3056" s="50" t="s">
        <v>7076</v>
      </c>
      <c r="G3056" s="51" t="n">
        <v>983862854</v>
      </c>
      <c r="H3056" s="51" t="n">
        <v>983862854</v>
      </c>
      <c r="I3056" s="52"/>
      <c r="J3056" s="1"/>
      <c r="K3056" s="1" t="s">
        <v>1589</v>
      </c>
      <c r="L3056" s="1"/>
      <c r="M3056" s="1"/>
      <c r="N3056" s="1"/>
      <c r="O3056" s="1"/>
      <c r="P3056" s="6"/>
      <c r="Q3056" s="1"/>
      <c r="R3056" s="1"/>
      <c r="S3056" s="1"/>
      <c r="T3056" s="1"/>
      <c r="U3056" s="1"/>
      <c r="V3056" s="1"/>
      <c r="W3056" s="1"/>
      <c r="X3056" s="1"/>
      <c r="Y3056" s="1"/>
      <c r="Z3056" s="1"/>
    </row>
    <row r="3057" customFormat="false" ht="21.75" hidden="false" customHeight="true" outlineLevel="0" collapsed="false">
      <c r="A3057" s="4" t="n">
        <v>43504</v>
      </c>
      <c r="B3057" s="53" t="s">
        <v>48</v>
      </c>
      <c r="C3057" s="46" t="s">
        <v>15</v>
      </c>
      <c r="D3057" s="46" t="s">
        <v>43</v>
      </c>
      <c r="E3057" s="46" t="s">
        <v>109</v>
      </c>
      <c r="F3057" s="50" t="s">
        <v>7077</v>
      </c>
      <c r="G3057" s="51" t="n">
        <v>988492879</v>
      </c>
      <c r="H3057" s="51" t="n">
        <v>988492879</v>
      </c>
      <c r="I3057" s="52"/>
      <c r="J3057" s="1"/>
      <c r="K3057" s="1" t="s">
        <v>21</v>
      </c>
      <c r="L3057" s="1" t="s">
        <v>7078</v>
      </c>
      <c r="M3057" s="1"/>
      <c r="N3057" s="1"/>
      <c r="O3057" s="1"/>
      <c r="P3057" s="6"/>
      <c r="Q3057" s="1"/>
      <c r="R3057" s="1"/>
      <c r="S3057" s="1"/>
      <c r="T3057" s="1"/>
      <c r="U3057" s="1"/>
      <c r="V3057" s="1"/>
      <c r="W3057" s="1"/>
      <c r="X3057" s="1"/>
      <c r="Y3057" s="1"/>
      <c r="Z3057" s="1"/>
    </row>
    <row r="3058" customFormat="false" ht="21.75" hidden="false" customHeight="true" outlineLevel="0" collapsed="false">
      <c r="A3058" s="4" t="n">
        <v>43504</v>
      </c>
      <c r="B3058" s="53" t="s">
        <v>1831</v>
      </c>
      <c r="C3058" s="46" t="s">
        <v>15</v>
      </c>
      <c r="D3058" s="46" t="s">
        <v>43</v>
      </c>
      <c r="E3058" s="46" t="s">
        <v>109</v>
      </c>
      <c r="F3058" s="50" t="s">
        <v>7079</v>
      </c>
      <c r="G3058" s="51" t="n">
        <v>959066502</v>
      </c>
      <c r="H3058" s="51" t="n">
        <v>959066502</v>
      </c>
      <c r="I3058" s="52"/>
      <c r="J3058" s="1"/>
      <c r="K3058" s="1" t="s">
        <v>7080</v>
      </c>
      <c r="L3058" s="1"/>
      <c r="M3058" s="1"/>
      <c r="N3058" s="1"/>
      <c r="O3058" s="1"/>
      <c r="P3058" s="6"/>
      <c r="Q3058" s="1"/>
      <c r="R3058" s="1"/>
      <c r="S3058" s="1"/>
      <c r="T3058" s="1"/>
      <c r="U3058" s="1"/>
      <c r="V3058" s="1"/>
      <c r="W3058" s="1"/>
      <c r="X3058" s="1"/>
      <c r="Y3058" s="1"/>
      <c r="Z3058" s="1"/>
    </row>
    <row r="3059" customFormat="false" ht="21.75" hidden="false" customHeight="true" outlineLevel="0" collapsed="false">
      <c r="A3059" s="4" t="n">
        <v>43504</v>
      </c>
      <c r="B3059" s="53" t="s">
        <v>127</v>
      </c>
      <c r="C3059" s="46" t="s">
        <v>15</v>
      </c>
      <c r="D3059" s="46" t="s">
        <v>43</v>
      </c>
      <c r="E3059" s="46" t="s">
        <v>109</v>
      </c>
      <c r="F3059" s="50" t="s">
        <v>7081</v>
      </c>
      <c r="G3059" s="51" t="n">
        <v>992239379</v>
      </c>
      <c r="H3059" s="52"/>
      <c r="I3059" s="52"/>
      <c r="J3059" s="1"/>
      <c r="K3059" s="1" t="s">
        <v>21</v>
      </c>
      <c r="L3059" s="1" t="s">
        <v>1156</v>
      </c>
      <c r="M3059" s="1"/>
      <c r="N3059" s="1"/>
      <c r="O3059" s="1"/>
      <c r="P3059" s="6"/>
      <c r="Q3059" s="1"/>
      <c r="R3059" s="1"/>
      <c r="S3059" s="1"/>
      <c r="T3059" s="1"/>
      <c r="U3059" s="1"/>
      <c r="V3059" s="1"/>
      <c r="W3059" s="1"/>
      <c r="X3059" s="1"/>
      <c r="Y3059" s="1"/>
      <c r="Z3059" s="1"/>
    </row>
    <row r="3060" customFormat="false" ht="21.75" hidden="false" customHeight="true" outlineLevel="0" collapsed="false">
      <c r="A3060" s="4" t="n">
        <v>43504</v>
      </c>
      <c r="B3060" s="53" t="s">
        <v>48</v>
      </c>
      <c r="C3060" s="46" t="s">
        <v>15</v>
      </c>
      <c r="D3060" s="46" t="s">
        <v>43</v>
      </c>
      <c r="E3060" s="46" t="s">
        <v>883</v>
      </c>
      <c r="F3060" s="50" t="s">
        <v>7082</v>
      </c>
      <c r="G3060" s="51" t="n">
        <v>989895664</v>
      </c>
      <c r="H3060" s="52"/>
      <c r="I3060" s="52"/>
      <c r="J3060" s="1"/>
      <c r="K3060" s="1" t="s">
        <v>6886</v>
      </c>
      <c r="L3060" s="1"/>
      <c r="M3060" s="1"/>
      <c r="N3060" s="1"/>
      <c r="O3060" s="1"/>
      <c r="P3060" s="6"/>
      <c r="Q3060" s="1"/>
      <c r="R3060" s="1"/>
      <c r="S3060" s="1"/>
      <c r="T3060" s="1"/>
      <c r="U3060" s="1"/>
      <c r="V3060" s="1"/>
      <c r="W3060" s="1"/>
      <c r="X3060" s="1"/>
      <c r="Y3060" s="1"/>
      <c r="Z3060" s="1"/>
    </row>
    <row r="3061" customFormat="false" ht="21.75" hidden="false" customHeight="true" outlineLevel="0" collapsed="false">
      <c r="A3061" s="4" t="n">
        <v>43504</v>
      </c>
      <c r="B3061" s="53" t="s">
        <v>127</v>
      </c>
      <c r="C3061" s="46" t="s">
        <v>15</v>
      </c>
      <c r="D3061" s="46" t="s">
        <v>43</v>
      </c>
      <c r="E3061" s="46" t="s">
        <v>109</v>
      </c>
      <c r="F3061" s="50" t="s">
        <v>7083</v>
      </c>
      <c r="G3061" s="51" t="n">
        <v>961614742</v>
      </c>
      <c r="H3061" s="52" t="s">
        <v>7084</v>
      </c>
      <c r="I3061" s="52"/>
      <c r="J3061" s="1"/>
      <c r="K3061" s="1" t="s">
        <v>21</v>
      </c>
      <c r="L3061" s="1" t="s">
        <v>1156</v>
      </c>
      <c r="M3061" s="1"/>
      <c r="N3061" s="1"/>
      <c r="O3061" s="1"/>
      <c r="P3061" s="6"/>
      <c r="Q3061" s="1"/>
      <c r="R3061" s="1"/>
      <c r="S3061" s="1"/>
      <c r="T3061" s="1"/>
      <c r="U3061" s="1"/>
      <c r="V3061" s="1"/>
      <c r="W3061" s="1"/>
      <c r="X3061" s="1"/>
      <c r="Y3061" s="1"/>
      <c r="Z3061" s="1"/>
    </row>
    <row r="3062" customFormat="false" ht="21.75" hidden="false" customHeight="true" outlineLevel="0" collapsed="false">
      <c r="A3062" s="4" t="n">
        <v>43504</v>
      </c>
      <c r="B3062" s="53" t="s">
        <v>86</v>
      </c>
      <c r="C3062" s="46" t="s">
        <v>15</v>
      </c>
      <c r="D3062" s="46" t="s">
        <v>16</v>
      </c>
      <c r="E3062" s="46" t="s">
        <v>17</v>
      </c>
      <c r="F3062" s="50" t="s">
        <v>7085</v>
      </c>
      <c r="G3062" s="51" t="n">
        <v>988936685</v>
      </c>
      <c r="H3062" s="52" t="s">
        <v>7086</v>
      </c>
      <c r="I3062" s="52"/>
      <c r="J3062" s="1"/>
      <c r="K3062" s="1" t="s">
        <v>7087</v>
      </c>
      <c r="L3062" s="1"/>
      <c r="M3062" s="1"/>
      <c r="N3062" s="1"/>
      <c r="O3062" s="1"/>
      <c r="P3062" s="6"/>
      <c r="Q3062" s="1"/>
      <c r="R3062" s="1"/>
      <c r="S3062" s="1"/>
      <c r="T3062" s="1"/>
      <c r="U3062" s="1"/>
      <c r="V3062" s="1"/>
      <c r="W3062" s="1"/>
      <c r="X3062" s="1"/>
      <c r="Y3062" s="1"/>
      <c r="Z3062" s="1"/>
    </row>
    <row r="3063" customFormat="false" ht="21.75" hidden="false" customHeight="true" outlineLevel="0" collapsed="false">
      <c r="A3063" s="4" t="n">
        <v>43504</v>
      </c>
      <c r="B3063" s="53" t="s">
        <v>48</v>
      </c>
      <c r="C3063" s="46" t="s">
        <v>15</v>
      </c>
      <c r="D3063" s="46" t="s">
        <v>43</v>
      </c>
      <c r="E3063" s="46" t="s">
        <v>109</v>
      </c>
      <c r="F3063" s="50" t="s">
        <v>7088</v>
      </c>
      <c r="G3063" s="51" t="n">
        <v>998824172</v>
      </c>
      <c r="H3063" s="52"/>
      <c r="I3063" s="52"/>
      <c r="J3063" s="1"/>
      <c r="K3063" s="1" t="s">
        <v>5748</v>
      </c>
      <c r="L3063" s="1"/>
      <c r="M3063" s="1"/>
      <c r="N3063" s="1"/>
      <c r="O3063" s="1"/>
      <c r="P3063" s="6"/>
      <c r="Q3063" s="1"/>
      <c r="R3063" s="1"/>
      <c r="S3063" s="1"/>
      <c r="T3063" s="1"/>
      <c r="U3063" s="1"/>
      <c r="V3063" s="1"/>
      <c r="W3063" s="1"/>
      <c r="X3063" s="1"/>
      <c r="Y3063" s="1"/>
      <c r="Z3063" s="1"/>
    </row>
    <row r="3064" customFormat="false" ht="21.75" hidden="false" customHeight="true" outlineLevel="0" collapsed="false">
      <c r="A3064" s="4" t="n">
        <v>43504</v>
      </c>
      <c r="B3064" s="53" t="s">
        <v>48</v>
      </c>
      <c r="C3064" s="46" t="s">
        <v>15</v>
      </c>
      <c r="D3064" s="46" t="s">
        <v>43</v>
      </c>
      <c r="E3064" s="46" t="s">
        <v>109</v>
      </c>
      <c r="F3064" s="50" t="s">
        <v>7089</v>
      </c>
      <c r="G3064" s="52"/>
      <c r="H3064" s="52" t="s">
        <v>7090</v>
      </c>
      <c r="I3064" s="52"/>
      <c r="J3064" s="1"/>
      <c r="K3064" s="1" t="s">
        <v>6342</v>
      </c>
      <c r="L3064" s="1"/>
      <c r="M3064" s="1"/>
      <c r="N3064" s="1"/>
      <c r="O3064" s="1"/>
      <c r="P3064" s="6"/>
      <c r="Q3064" s="1"/>
      <c r="R3064" s="1"/>
      <c r="S3064" s="1"/>
      <c r="T3064" s="1"/>
      <c r="U3064" s="1"/>
      <c r="V3064" s="1"/>
      <c r="W3064" s="1"/>
      <c r="X3064" s="1"/>
      <c r="Y3064" s="1"/>
      <c r="Z3064" s="1"/>
    </row>
    <row r="3065" customFormat="false" ht="21.75" hidden="false" customHeight="true" outlineLevel="0" collapsed="false">
      <c r="A3065" s="21" t="n">
        <v>43505</v>
      </c>
      <c r="B3065" s="81" t="s">
        <v>1114</v>
      </c>
      <c r="C3065" s="81" t="s">
        <v>15</v>
      </c>
      <c r="D3065" s="82" t="s">
        <v>43</v>
      </c>
      <c r="E3065" s="82" t="s">
        <v>109</v>
      </c>
      <c r="F3065" s="81" t="s">
        <v>5939</v>
      </c>
      <c r="G3065" s="81" t="n">
        <f aca="false">+593984315708</f>
        <v>593984315708</v>
      </c>
      <c r="H3065" s="81" t="s">
        <v>5940</v>
      </c>
      <c r="I3065" s="46" t="s">
        <v>6700</v>
      </c>
      <c r="J3065" s="1"/>
      <c r="K3065" s="1" t="s">
        <v>7091</v>
      </c>
      <c r="L3065" s="1"/>
      <c r="M3065" s="1"/>
      <c r="N3065" s="1"/>
      <c r="O3065" s="1"/>
      <c r="P3065" s="6"/>
      <c r="Q3065" s="1"/>
      <c r="R3065" s="1"/>
      <c r="S3065" s="1"/>
      <c r="T3065" s="1"/>
      <c r="U3065" s="1"/>
      <c r="V3065" s="1"/>
      <c r="W3065" s="1"/>
      <c r="X3065" s="1"/>
      <c r="Y3065" s="1"/>
      <c r="Z3065" s="1"/>
    </row>
    <row r="3066" customFormat="false" ht="21.75" hidden="false" customHeight="true" outlineLevel="0" collapsed="false">
      <c r="A3066" s="4" t="n">
        <v>43505</v>
      </c>
      <c r="B3066" s="61" t="s">
        <v>178</v>
      </c>
      <c r="C3066" s="46" t="s">
        <v>15</v>
      </c>
      <c r="D3066" s="46" t="s">
        <v>43</v>
      </c>
      <c r="E3066" s="46" t="s">
        <v>883</v>
      </c>
      <c r="F3066" s="50" t="s">
        <v>7092</v>
      </c>
      <c r="G3066" s="51" t="n">
        <v>988694839</v>
      </c>
      <c r="H3066" s="52" t="s">
        <v>7093</v>
      </c>
      <c r="I3066" s="52"/>
      <c r="J3066" s="1"/>
      <c r="K3066" s="1" t="s">
        <v>1156</v>
      </c>
      <c r="L3066" s="1" t="s">
        <v>7094</v>
      </c>
      <c r="M3066" s="1"/>
      <c r="N3066" s="1"/>
      <c r="O3066" s="1"/>
      <c r="P3066" s="6"/>
      <c r="Q3066" s="1"/>
      <c r="R3066" s="1"/>
      <c r="S3066" s="1"/>
      <c r="T3066" s="1"/>
      <c r="U3066" s="1"/>
      <c r="V3066" s="1"/>
      <c r="W3066" s="1"/>
      <c r="X3066" s="1"/>
      <c r="Y3066" s="1"/>
      <c r="Z3066" s="1"/>
    </row>
    <row r="3067" customFormat="false" ht="21.75" hidden="false" customHeight="true" outlineLevel="0" collapsed="false">
      <c r="A3067" s="4" t="n">
        <v>43505</v>
      </c>
      <c r="B3067" s="61" t="s">
        <v>178</v>
      </c>
      <c r="C3067" s="46" t="s">
        <v>15</v>
      </c>
      <c r="D3067" s="46" t="s">
        <v>43</v>
      </c>
      <c r="E3067" s="46" t="s">
        <v>44</v>
      </c>
      <c r="F3067" s="50" t="s">
        <v>7095</v>
      </c>
      <c r="G3067" s="51" t="n">
        <v>967910132</v>
      </c>
      <c r="H3067" s="52" t="s">
        <v>7096</v>
      </c>
      <c r="I3067" s="52"/>
      <c r="J3067" s="1"/>
      <c r="K3067" s="1" t="s">
        <v>7097</v>
      </c>
      <c r="L3067" s="1"/>
      <c r="M3067" s="1"/>
      <c r="N3067" s="1"/>
      <c r="O3067" s="1"/>
      <c r="P3067" s="6"/>
      <c r="Q3067" s="1"/>
      <c r="R3067" s="1"/>
      <c r="S3067" s="1"/>
      <c r="T3067" s="1"/>
      <c r="U3067" s="1"/>
      <c r="V3067" s="1"/>
      <c r="W3067" s="1"/>
      <c r="X3067" s="1"/>
      <c r="Y3067" s="1"/>
      <c r="Z3067" s="1"/>
    </row>
    <row r="3068" customFormat="false" ht="21.75" hidden="false" customHeight="true" outlineLevel="0" collapsed="false">
      <c r="A3068" s="4" t="n">
        <v>43505</v>
      </c>
      <c r="B3068" s="61" t="s">
        <v>48</v>
      </c>
      <c r="C3068" s="46" t="s">
        <v>15</v>
      </c>
      <c r="D3068" s="46" t="s">
        <v>43</v>
      </c>
      <c r="E3068" s="46" t="s">
        <v>109</v>
      </c>
      <c r="F3068" s="50" t="s">
        <v>7098</v>
      </c>
      <c r="G3068" s="51" t="n">
        <v>982995100</v>
      </c>
      <c r="H3068" s="52" t="s">
        <v>7099</v>
      </c>
      <c r="I3068" s="52"/>
      <c r="J3068" s="1"/>
      <c r="K3068" s="1" t="s">
        <v>6643</v>
      </c>
      <c r="L3068" s="1"/>
      <c r="M3068" s="1"/>
      <c r="N3068" s="1"/>
      <c r="O3068" s="1"/>
      <c r="P3068" s="6"/>
      <c r="Q3068" s="1"/>
      <c r="R3068" s="1"/>
      <c r="S3068" s="1"/>
      <c r="T3068" s="1"/>
      <c r="U3068" s="1"/>
      <c r="V3068" s="1"/>
      <c r="W3068" s="1"/>
      <c r="X3068" s="1"/>
      <c r="Y3068" s="1"/>
      <c r="Z3068" s="1"/>
    </row>
    <row r="3069" customFormat="false" ht="21.75" hidden="false" customHeight="true" outlineLevel="0" collapsed="false">
      <c r="A3069" s="4" t="n">
        <v>43505</v>
      </c>
      <c r="B3069" s="61" t="s">
        <v>48</v>
      </c>
      <c r="C3069" s="46" t="s">
        <v>15</v>
      </c>
      <c r="D3069" s="46" t="s">
        <v>43</v>
      </c>
      <c r="E3069" s="46" t="s">
        <v>44</v>
      </c>
      <c r="F3069" s="50" t="s">
        <v>7100</v>
      </c>
      <c r="G3069" s="51" t="n">
        <v>986820888</v>
      </c>
      <c r="H3069" s="52" t="s">
        <v>7101</v>
      </c>
      <c r="I3069" s="52"/>
      <c r="J3069" s="1"/>
      <c r="K3069" s="1" t="s">
        <v>1149</v>
      </c>
      <c r="L3069" s="1" t="s">
        <v>1156</v>
      </c>
      <c r="M3069" s="1"/>
      <c r="N3069" s="1"/>
      <c r="O3069" s="1"/>
      <c r="P3069" s="6"/>
      <c r="Q3069" s="1"/>
      <c r="R3069" s="1"/>
      <c r="S3069" s="1"/>
      <c r="T3069" s="1"/>
      <c r="U3069" s="1"/>
      <c r="V3069" s="1"/>
      <c r="W3069" s="1"/>
      <c r="X3069" s="1"/>
      <c r="Y3069" s="1"/>
      <c r="Z3069" s="1"/>
    </row>
    <row r="3070" customFormat="false" ht="21.75" hidden="false" customHeight="true" outlineLevel="0" collapsed="false">
      <c r="A3070" s="4" t="n">
        <v>43505</v>
      </c>
      <c r="B3070" s="61" t="s">
        <v>48</v>
      </c>
      <c r="C3070" s="46" t="s">
        <v>15</v>
      </c>
      <c r="D3070" s="46" t="s">
        <v>43</v>
      </c>
      <c r="E3070" s="46" t="s">
        <v>109</v>
      </c>
      <c r="F3070" s="50" t="s">
        <v>7102</v>
      </c>
      <c r="G3070" s="51" t="n">
        <v>961451615</v>
      </c>
      <c r="H3070" s="53"/>
      <c r="I3070" s="53"/>
      <c r="J3070" s="1"/>
      <c r="K3070" s="1" t="s">
        <v>1156</v>
      </c>
      <c r="L3070" s="1" t="s">
        <v>1156</v>
      </c>
      <c r="M3070" s="1"/>
      <c r="N3070" s="1"/>
      <c r="O3070" s="1"/>
      <c r="P3070" s="6"/>
      <c r="Q3070" s="1"/>
      <c r="R3070" s="1"/>
      <c r="S3070" s="1"/>
      <c r="T3070" s="1"/>
      <c r="U3070" s="1"/>
      <c r="V3070" s="1"/>
      <c r="W3070" s="1"/>
      <c r="X3070" s="1"/>
      <c r="Y3070" s="1"/>
      <c r="Z3070" s="1"/>
    </row>
    <row r="3071" customFormat="false" ht="21.75" hidden="false" customHeight="true" outlineLevel="0" collapsed="false">
      <c r="A3071" s="4" t="n">
        <v>43505</v>
      </c>
      <c r="B3071" s="61" t="s">
        <v>48</v>
      </c>
      <c r="C3071" s="46" t="s">
        <v>15</v>
      </c>
      <c r="D3071" s="46" t="s">
        <v>43</v>
      </c>
      <c r="E3071" s="46" t="s">
        <v>109</v>
      </c>
      <c r="F3071" s="50" t="s">
        <v>7103</v>
      </c>
      <c r="G3071" s="53"/>
      <c r="H3071" s="53" t="s">
        <v>7104</v>
      </c>
      <c r="I3071" s="53"/>
      <c r="J3071" s="1"/>
      <c r="K3071" s="1" t="s">
        <v>6427</v>
      </c>
      <c r="L3071" s="1"/>
      <c r="M3071" s="1"/>
      <c r="N3071" s="1"/>
      <c r="O3071" s="1"/>
      <c r="P3071" s="6"/>
      <c r="Q3071" s="1"/>
      <c r="R3071" s="1"/>
      <c r="S3071" s="1"/>
      <c r="T3071" s="1"/>
      <c r="U3071" s="1"/>
      <c r="V3071" s="1"/>
      <c r="W3071" s="1"/>
      <c r="X3071" s="1"/>
      <c r="Y3071" s="1"/>
      <c r="Z3071" s="1"/>
    </row>
    <row r="3072" customFormat="false" ht="21.75" hidden="false" customHeight="true" outlineLevel="0" collapsed="false">
      <c r="A3072" s="4" t="n">
        <v>43505</v>
      </c>
      <c r="B3072" s="46" t="s">
        <v>1114</v>
      </c>
      <c r="C3072" s="46" t="s">
        <v>15</v>
      </c>
      <c r="D3072" s="46" t="s">
        <v>43</v>
      </c>
      <c r="E3072" s="46" t="s">
        <v>883</v>
      </c>
      <c r="F3072" s="46" t="s">
        <v>7105</v>
      </c>
      <c r="G3072" s="46" t="n">
        <f aca="false">+593980816642</f>
        <v>593980816642</v>
      </c>
      <c r="H3072" s="46" t="s">
        <v>7106</v>
      </c>
      <c r="I3072" s="46"/>
      <c r="J3072" s="1"/>
      <c r="K3072" s="1" t="s">
        <v>1156</v>
      </c>
      <c r="L3072" s="1" t="s">
        <v>1156</v>
      </c>
      <c r="M3072" s="1"/>
      <c r="N3072" s="1"/>
      <c r="O3072" s="1"/>
      <c r="P3072" s="6"/>
      <c r="Q3072" s="1"/>
      <c r="R3072" s="1"/>
      <c r="S3072" s="1"/>
      <c r="T3072" s="1"/>
      <c r="U3072" s="1"/>
      <c r="V3072" s="1"/>
      <c r="W3072" s="1"/>
      <c r="X3072" s="1"/>
      <c r="Y3072" s="1"/>
      <c r="Z3072" s="1"/>
    </row>
    <row r="3073" customFormat="false" ht="21.75" hidden="false" customHeight="true" outlineLevel="0" collapsed="false">
      <c r="A3073" s="4" t="n">
        <v>43505</v>
      </c>
      <c r="B3073" s="46" t="s">
        <v>352</v>
      </c>
      <c r="C3073" s="46" t="s">
        <v>15</v>
      </c>
      <c r="D3073" s="46" t="s">
        <v>43</v>
      </c>
      <c r="E3073" s="46" t="s">
        <v>883</v>
      </c>
      <c r="F3073" s="46" t="s">
        <v>7107</v>
      </c>
      <c r="G3073" s="46" t="n">
        <f aca="false">+593967616807</f>
        <v>593967616807</v>
      </c>
      <c r="H3073" s="46" t="s">
        <v>7108</v>
      </c>
      <c r="I3073" s="46"/>
      <c r="J3073" s="1"/>
      <c r="K3073" s="1" t="s">
        <v>1156</v>
      </c>
      <c r="L3073" s="1" t="s">
        <v>1156</v>
      </c>
      <c r="M3073" s="1"/>
      <c r="N3073" s="1"/>
      <c r="O3073" s="1"/>
      <c r="P3073" s="6"/>
      <c r="Q3073" s="1"/>
      <c r="R3073" s="1"/>
      <c r="S3073" s="1"/>
      <c r="T3073" s="1"/>
      <c r="U3073" s="1"/>
      <c r="V3073" s="1"/>
      <c r="W3073" s="1"/>
      <c r="X3073" s="1"/>
      <c r="Y3073" s="1"/>
      <c r="Z3073" s="1"/>
    </row>
    <row r="3074" customFormat="false" ht="21.75" hidden="false" customHeight="true" outlineLevel="0" collapsed="false">
      <c r="A3074" s="4" t="n">
        <v>43505</v>
      </c>
      <c r="B3074" s="46" t="s">
        <v>352</v>
      </c>
      <c r="C3074" s="46" t="s">
        <v>15</v>
      </c>
      <c r="D3074" s="46" t="s">
        <v>43</v>
      </c>
      <c r="E3074" s="46" t="s">
        <v>883</v>
      </c>
      <c r="F3074" s="46" t="s">
        <v>7109</v>
      </c>
      <c r="G3074" s="46" t="n">
        <f aca="false">+5930969642060</f>
        <v>5930969642060</v>
      </c>
      <c r="H3074" s="46" t="s">
        <v>7110</v>
      </c>
      <c r="I3074" s="46"/>
      <c r="J3074" s="1"/>
      <c r="K3074" s="1" t="s">
        <v>1156</v>
      </c>
      <c r="L3074" s="1" t="s">
        <v>6540</v>
      </c>
      <c r="M3074" s="1"/>
      <c r="N3074" s="1"/>
      <c r="O3074" s="1"/>
      <c r="P3074" s="6"/>
      <c r="Q3074" s="1"/>
      <c r="R3074" s="1"/>
      <c r="S3074" s="1"/>
      <c r="T3074" s="1"/>
      <c r="U3074" s="1"/>
      <c r="V3074" s="1"/>
      <c r="W3074" s="1"/>
      <c r="X3074" s="1"/>
      <c r="Y3074" s="1"/>
      <c r="Z3074" s="1"/>
    </row>
    <row r="3075" customFormat="false" ht="21.75" hidden="false" customHeight="true" outlineLevel="0" collapsed="false">
      <c r="A3075" s="4" t="n">
        <v>43505</v>
      </c>
      <c r="B3075" s="46" t="s">
        <v>1114</v>
      </c>
      <c r="C3075" s="46" t="s">
        <v>15</v>
      </c>
      <c r="D3075" s="46" t="s">
        <v>43</v>
      </c>
      <c r="E3075" s="46" t="s">
        <v>883</v>
      </c>
      <c r="F3075" s="46" t="s">
        <v>7111</v>
      </c>
      <c r="G3075" s="46" t="n">
        <f aca="false">+593980223341</f>
        <v>593980223341</v>
      </c>
      <c r="H3075" s="46" t="s">
        <v>7112</v>
      </c>
      <c r="I3075" s="46"/>
      <c r="J3075" s="1"/>
      <c r="K3075" s="1" t="s">
        <v>1156</v>
      </c>
      <c r="L3075" s="1" t="s">
        <v>1156</v>
      </c>
      <c r="M3075" s="1"/>
      <c r="N3075" s="1"/>
      <c r="O3075" s="1"/>
      <c r="P3075" s="6"/>
      <c r="Q3075" s="1"/>
      <c r="R3075" s="1"/>
      <c r="S3075" s="1"/>
      <c r="T3075" s="1"/>
      <c r="U3075" s="1"/>
      <c r="V3075" s="1"/>
      <c r="W3075" s="1"/>
      <c r="X3075" s="1"/>
      <c r="Y3075" s="1"/>
      <c r="Z3075" s="1"/>
    </row>
    <row r="3076" customFormat="false" ht="21.75" hidden="false" customHeight="true" outlineLevel="0" collapsed="false">
      <c r="A3076" s="4" t="n">
        <v>43505</v>
      </c>
      <c r="B3076" s="46" t="s">
        <v>127</v>
      </c>
      <c r="C3076" s="46" t="s">
        <v>15</v>
      </c>
      <c r="D3076" s="46" t="s">
        <v>43</v>
      </c>
      <c r="E3076" s="46" t="s">
        <v>883</v>
      </c>
      <c r="F3076" s="46" t="s">
        <v>7113</v>
      </c>
      <c r="G3076" s="46" t="n">
        <f aca="false">+593999528682</f>
        <v>593999528682</v>
      </c>
      <c r="H3076" s="46" t="s">
        <v>7114</v>
      </c>
      <c r="I3076" s="46"/>
      <c r="J3076" s="1"/>
      <c r="K3076" s="1" t="s">
        <v>6616</v>
      </c>
      <c r="L3076" s="1"/>
      <c r="M3076" s="1"/>
      <c r="N3076" s="1"/>
      <c r="O3076" s="1"/>
      <c r="P3076" s="6"/>
      <c r="Q3076" s="1"/>
      <c r="R3076" s="1"/>
      <c r="S3076" s="1"/>
      <c r="T3076" s="1"/>
      <c r="U3076" s="1"/>
      <c r="V3076" s="1"/>
      <c r="W3076" s="1"/>
      <c r="X3076" s="1"/>
      <c r="Y3076" s="1"/>
      <c r="Z3076" s="1"/>
    </row>
    <row r="3077" customFormat="false" ht="21.75" hidden="false" customHeight="true" outlineLevel="0" collapsed="false">
      <c r="A3077" s="4" t="n">
        <v>43505</v>
      </c>
      <c r="B3077" s="46" t="s">
        <v>1114</v>
      </c>
      <c r="C3077" s="46" t="s">
        <v>26</v>
      </c>
      <c r="D3077" s="46" t="s">
        <v>43</v>
      </c>
      <c r="E3077" s="46" t="s">
        <v>883</v>
      </c>
      <c r="F3077" s="46" t="s">
        <v>7115</v>
      </c>
      <c r="G3077" s="46" t="n">
        <f aca="false">+593996673734</f>
        <v>593996673734</v>
      </c>
      <c r="H3077" s="46" t="s">
        <v>7116</v>
      </c>
      <c r="I3077" s="46"/>
      <c r="J3077" s="1"/>
      <c r="K3077" s="1" t="s">
        <v>1156</v>
      </c>
      <c r="L3077" s="1" t="s">
        <v>1156</v>
      </c>
      <c r="M3077" s="1"/>
      <c r="N3077" s="1"/>
      <c r="O3077" s="1"/>
      <c r="P3077" s="6"/>
      <c r="Q3077" s="1"/>
      <c r="R3077" s="1"/>
      <c r="S3077" s="1"/>
      <c r="T3077" s="1"/>
      <c r="U3077" s="1"/>
      <c r="V3077" s="1"/>
      <c r="W3077" s="1"/>
      <c r="X3077" s="1"/>
      <c r="Y3077" s="1"/>
      <c r="Z3077" s="1"/>
    </row>
    <row r="3078" customFormat="false" ht="21.75" hidden="false" customHeight="true" outlineLevel="0" collapsed="false">
      <c r="A3078" s="4" t="n">
        <v>43505</v>
      </c>
      <c r="B3078" s="46" t="s">
        <v>352</v>
      </c>
      <c r="C3078" s="46" t="s">
        <v>15</v>
      </c>
      <c r="D3078" s="46" t="s">
        <v>43</v>
      </c>
      <c r="E3078" s="46" t="s">
        <v>883</v>
      </c>
      <c r="F3078" s="46" t="s">
        <v>7117</v>
      </c>
      <c r="G3078" s="46" t="n">
        <f aca="false">+593994623719</f>
        <v>593994623719</v>
      </c>
      <c r="H3078" s="46" t="s">
        <v>7118</v>
      </c>
      <c r="I3078" s="46"/>
      <c r="J3078" s="1"/>
      <c r="K3078" s="1" t="s">
        <v>1156</v>
      </c>
      <c r="L3078" s="1" t="s">
        <v>1156</v>
      </c>
      <c r="M3078" s="1"/>
      <c r="N3078" s="1"/>
      <c r="O3078" s="1"/>
      <c r="P3078" s="6"/>
      <c r="Q3078" s="1"/>
      <c r="R3078" s="1"/>
      <c r="S3078" s="1"/>
      <c r="T3078" s="1"/>
      <c r="U3078" s="1"/>
      <c r="V3078" s="1"/>
      <c r="W3078" s="1"/>
      <c r="X3078" s="1"/>
      <c r="Y3078" s="1"/>
      <c r="Z3078" s="1"/>
    </row>
    <row r="3079" customFormat="false" ht="21.75" hidden="false" customHeight="true" outlineLevel="0" collapsed="false">
      <c r="A3079" s="4" t="n">
        <v>43505</v>
      </c>
      <c r="B3079" s="46" t="s">
        <v>48</v>
      </c>
      <c r="C3079" s="46" t="s">
        <v>15</v>
      </c>
      <c r="D3079" s="46" t="s">
        <v>43</v>
      </c>
      <c r="E3079" s="46" t="s">
        <v>883</v>
      </c>
      <c r="F3079" s="46" t="s">
        <v>7119</v>
      </c>
      <c r="G3079" s="46" t="n">
        <f aca="false">+593999114175</f>
        <v>593999114175</v>
      </c>
      <c r="H3079" s="46" t="s">
        <v>7120</v>
      </c>
      <c r="I3079" s="46"/>
      <c r="J3079" s="1"/>
      <c r="K3079" s="1" t="s">
        <v>7121</v>
      </c>
      <c r="L3079" s="1"/>
      <c r="M3079" s="1"/>
      <c r="N3079" s="1"/>
      <c r="O3079" s="1"/>
      <c r="P3079" s="6"/>
      <c r="Q3079" s="1"/>
      <c r="R3079" s="1"/>
      <c r="S3079" s="1"/>
      <c r="T3079" s="1"/>
      <c r="U3079" s="1"/>
      <c r="V3079" s="1"/>
      <c r="W3079" s="1"/>
      <c r="X3079" s="1"/>
      <c r="Y3079" s="1"/>
      <c r="Z3079" s="1"/>
    </row>
    <row r="3080" customFormat="false" ht="21.75" hidden="false" customHeight="true" outlineLevel="0" collapsed="false">
      <c r="A3080" s="4" t="n">
        <v>43505</v>
      </c>
      <c r="B3080" s="46" t="s">
        <v>48</v>
      </c>
      <c r="C3080" s="46" t="s">
        <v>15</v>
      </c>
      <c r="D3080" s="46" t="s">
        <v>43</v>
      </c>
      <c r="E3080" s="46" t="s">
        <v>883</v>
      </c>
      <c r="F3080" s="46" t="s">
        <v>7122</v>
      </c>
      <c r="G3080" s="46" t="n">
        <f aca="false">+5930939238926</f>
        <v>5930939238926</v>
      </c>
      <c r="H3080" s="46" t="s">
        <v>7123</v>
      </c>
      <c r="I3080" s="46"/>
      <c r="J3080" s="1"/>
      <c r="K3080" s="1" t="s">
        <v>1156</v>
      </c>
      <c r="L3080" s="1" t="s">
        <v>1156</v>
      </c>
      <c r="M3080" s="1"/>
      <c r="N3080" s="1"/>
      <c r="O3080" s="1"/>
      <c r="P3080" s="6"/>
      <c r="Q3080" s="1"/>
      <c r="R3080" s="1"/>
      <c r="S3080" s="1"/>
      <c r="T3080" s="1"/>
      <c r="U3080" s="1"/>
      <c r="V3080" s="1"/>
      <c r="W3080" s="1"/>
      <c r="X3080" s="1"/>
      <c r="Y3080" s="1"/>
      <c r="Z3080" s="1"/>
    </row>
    <row r="3081" customFormat="false" ht="21.75" hidden="false" customHeight="true" outlineLevel="0" collapsed="false">
      <c r="A3081" s="4" t="n">
        <v>43505</v>
      </c>
      <c r="B3081" s="46" t="s">
        <v>352</v>
      </c>
      <c r="C3081" s="46" t="s">
        <v>15</v>
      </c>
      <c r="D3081" s="46" t="s">
        <v>43</v>
      </c>
      <c r="E3081" s="46" t="s">
        <v>883</v>
      </c>
      <c r="F3081" s="46" t="s">
        <v>7124</v>
      </c>
      <c r="G3081" s="46" t="n">
        <f aca="false">+593981878158</f>
        <v>593981878158</v>
      </c>
      <c r="H3081" s="46" t="s">
        <v>7125</v>
      </c>
      <c r="I3081" s="46"/>
      <c r="J3081" s="1"/>
      <c r="K3081" s="1" t="s">
        <v>1156</v>
      </c>
      <c r="L3081" s="1" t="s">
        <v>1156</v>
      </c>
      <c r="M3081" s="1"/>
      <c r="N3081" s="1"/>
      <c r="O3081" s="1"/>
      <c r="P3081" s="6"/>
      <c r="Q3081" s="1"/>
      <c r="R3081" s="1"/>
      <c r="S3081" s="1"/>
      <c r="T3081" s="1"/>
      <c r="U3081" s="1"/>
      <c r="V3081" s="1"/>
      <c r="W3081" s="1"/>
      <c r="X3081" s="1"/>
      <c r="Y3081" s="1"/>
      <c r="Z3081" s="1"/>
    </row>
    <row r="3082" customFormat="false" ht="21.75" hidden="false" customHeight="true" outlineLevel="0" collapsed="false">
      <c r="A3082" s="4" t="n">
        <v>43505</v>
      </c>
      <c r="B3082" s="46" t="s">
        <v>48</v>
      </c>
      <c r="C3082" s="46" t="s">
        <v>15</v>
      </c>
      <c r="D3082" s="46" t="s">
        <v>43</v>
      </c>
      <c r="E3082" s="46" t="s">
        <v>883</v>
      </c>
      <c r="F3082" s="46" t="s">
        <v>7126</v>
      </c>
      <c r="G3082" s="46" t="n">
        <f aca="false">+593969167082</f>
        <v>593969167082</v>
      </c>
      <c r="H3082" s="46" t="s">
        <v>7127</v>
      </c>
      <c r="I3082" s="46"/>
      <c r="J3082" s="1"/>
      <c r="K3082" s="1" t="s">
        <v>1156</v>
      </c>
      <c r="L3082" s="1" t="s">
        <v>1156</v>
      </c>
      <c r="M3082" s="1"/>
      <c r="N3082" s="1"/>
      <c r="O3082" s="1"/>
      <c r="P3082" s="6"/>
      <c r="Q3082" s="1"/>
      <c r="R3082" s="1"/>
      <c r="S3082" s="1"/>
      <c r="T3082" s="1"/>
      <c r="U3082" s="1"/>
      <c r="V3082" s="1"/>
      <c r="W3082" s="1"/>
      <c r="X3082" s="1"/>
      <c r="Y3082" s="1"/>
      <c r="Z3082" s="1"/>
    </row>
    <row r="3083" customFormat="false" ht="21.75" hidden="false" customHeight="true" outlineLevel="0" collapsed="false">
      <c r="A3083" s="4" t="n">
        <v>43505</v>
      </c>
      <c r="B3083" s="46" t="s">
        <v>1114</v>
      </c>
      <c r="C3083" s="46" t="s">
        <v>15</v>
      </c>
      <c r="D3083" s="46" t="s">
        <v>43</v>
      </c>
      <c r="E3083" s="46" t="s">
        <v>883</v>
      </c>
      <c r="F3083" s="46" t="s">
        <v>7128</v>
      </c>
      <c r="G3083" s="46" t="n">
        <f aca="false">+593981600323</f>
        <v>593981600323</v>
      </c>
      <c r="H3083" s="46" t="s">
        <v>7129</v>
      </c>
      <c r="I3083" s="46"/>
      <c r="J3083" s="1"/>
      <c r="K3083" s="1" t="s">
        <v>1156</v>
      </c>
      <c r="L3083" s="1" t="s">
        <v>1156</v>
      </c>
      <c r="M3083" s="1"/>
      <c r="N3083" s="1"/>
      <c r="O3083" s="1"/>
      <c r="P3083" s="6"/>
      <c r="Q3083" s="1"/>
      <c r="R3083" s="1"/>
      <c r="S3083" s="1"/>
      <c r="T3083" s="1"/>
      <c r="U3083" s="1"/>
      <c r="V3083" s="1"/>
      <c r="W3083" s="1"/>
      <c r="X3083" s="1"/>
      <c r="Y3083" s="1"/>
      <c r="Z3083" s="1"/>
    </row>
    <row r="3084" customFormat="false" ht="21.75" hidden="false" customHeight="true" outlineLevel="0" collapsed="false">
      <c r="A3084" s="4" t="n">
        <v>43505</v>
      </c>
      <c r="B3084" s="46" t="s">
        <v>1114</v>
      </c>
      <c r="C3084" s="46" t="s">
        <v>15</v>
      </c>
      <c r="D3084" s="46" t="s">
        <v>43</v>
      </c>
      <c r="E3084" s="46" t="s">
        <v>883</v>
      </c>
      <c r="F3084" s="46" t="s">
        <v>7130</v>
      </c>
      <c r="G3084" s="57" t="n">
        <v>999365540</v>
      </c>
      <c r="H3084" s="46" t="s">
        <v>7131</v>
      </c>
      <c r="I3084" s="46"/>
      <c r="J3084" s="1"/>
      <c r="K3084" s="1" t="s">
        <v>7132</v>
      </c>
      <c r="L3084" s="1"/>
      <c r="M3084" s="1"/>
      <c r="N3084" s="1"/>
      <c r="O3084" s="1"/>
      <c r="P3084" s="6"/>
      <c r="Q3084" s="1"/>
      <c r="R3084" s="1"/>
      <c r="S3084" s="1"/>
      <c r="T3084" s="1"/>
      <c r="U3084" s="1"/>
      <c r="V3084" s="1"/>
      <c r="W3084" s="1"/>
      <c r="X3084" s="1"/>
      <c r="Y3084" s="1"/>
      <c r="Z3084" s="1"/>
    </row>
    <row r="3085" customFormat="false" ht="21.75" hidden="false" customHeight="true" outlineLevel="0" collapsed="false">
      <c r="A3085" s="4" t="n">
        <v>43505</v>
      </c>
      <c r="B3085" s="46" t="s">
        <v>352</v>
      </c>
      <c r="C3085" s="46" t="s">
        <v>15</v>
      </c>
      <c r="D3085" s="46" t="s">
        <v>43</v>
      </c>
      <c r="E3085" s="46" t="s">
        <v>883</v>
      </c>
      <c r="F3085" s="46" t="s">
        <v>3300</v>
      </c>
      <c r="G3085" s="46" t="n">
        <f aca="false">+593986891562</f>
        <v>593986891562</v>
      </c>
      <c r="H3085" s="46" t="s">
        <v>3301</v>
      </c>
      <c r="I3085" s="46"/>
      <c r="J3085" s="1"/>
      <c r="K3085" s="1" t="s">
        <v>1156</v>
      </c>
      <c r="L3085" s="1" t="s">
        <v>1156</v>
      </c>
      <c r="M3085" s="1"/>
      <c r="N3085" s="1"/>
      <c r="O3085" s="1"/>
      <c r="P3085" s="6"/>
      <c r="Q3085" s="1"/>
      <c r="R3085" s="1"/>
      <c r="S3085" s="1"/>
      <c r="T3085" s="1"/>
      <c r="U3085" s="1"/>
      <c r="V3085" s="1"/>
      <c r="W3085" s="1"/>
      <c r="X3085" s="1"/>
      <c r="Y3085" s="1"/>
      <c r="Z3085" s="1"/>
    </row>
    <row r="3086" customFormat="false" ht="21.75" hidden="false" customHeight="true" outlineLevel="0" collapsed="false">
      <c r="A3086" s="4" t="n">
        <v>43505</v>
      </c>
      <c r="B3086" s="46" t="s">
        <v>1114</v>
      </c>
      <c r="C3086" s="46" t="s">
        <v>15</v>
      </c>
      <c r="D3086" s="46" t="s">
        <v>43</v>
      </c>
      <c r="E3086" s="46" t="s">
        <v>883</v>
      </c>
      <c r="F3086" s="46" t="s">
        <v>7133</v>
      </c>
      <c r="G3086" s="46" t="n">
        <f aca="false">+593986165361</f>
        <v>593986165361</v>
      </c>
      <c r="H3086" s="46" t="s">
        <v>7134</v>
      </c>
      <c r="I3086" s="46"/>
      <c r="J3086" s="1"/>
      <c r="K3086" s="1" t="s">
        <v>1156</v>
      </c>
      <c r="L3086" s="1" t="s">
        <v>7135</v>
      </c>
      <c r="M3086" s="1"/>
      <c r="N3086" s="1"/>
      <c r="O3086" s="1"/>
      <c r="P3086" s="6"/>
      <c r="Q3086" s="1"/>
      <c r="R3086" s="1"/>
      <c r="S3086" s="1"/>
      <c r="T3086" s="1"/>
      <c r="U3086" s="1"/>
      <c r="V3086" s="1"/>
      <c r="W3086" s="1"/>
      <c r="X3086" s="1"/>
      <c r="Y3086" s="1"/>
      <c r="Z3086" s="1"/>
    </row>
    <row r="3087" customFormat="false" ht="21.75" hidden="false" customHeight="true" outlineLevel="0" collapsed="false">
      <c r="A3087" s="4" t="n">
        <v>43505</v>
      </c>
      <c r="B3087" s="46" t="s">
        <v>127</v>
      </c>
      <c r="C3087" s="46" t="s">
        <v>15</v>
      </c>
      <c r="D3087" s="46" t="s">
        <v>43</v>
      </c>
      <c r="E3087" s="46" t="s">
        <v>883</v>
      </c>
      <c r="F3087" s="46" t="s">
        <v>7136</v>
      </c>
      <c r="G3087" s="46" t="n">
        <f aca="false">+5930959410794</f>
        <v>5930959410794</v>
      </c>
      <c r="H3087" s="46" t="s">
        <v>7137</v>
      </c>
      <c r="I3087" s="46"/>
      <c r="J3087" s="1"/>
      <c r="K3087" s="1" t="s">
        <v>1156</v>
      </c>
      <c r="L3087" s="1" t="s">
        <v>1156</v>
      </c>
      <c r="M3087" s="1"/>
      <c r="N3087" s="1"/>
      <c r="O3087" s="1"/>
      <c r="P3087" s="6"/>
      <c r="Q3087" s="1"/>
      <c r="R3087" s="1"/>
      <c r="S3087" s="1"/>
      <c r="T3087" s="1"/>
      <c r="U3087" s="1"/>
      <c r="V3087" s="1"/>
      <c r="W3087" s="1"/>
      <c r="X3087" s="1"/>
      <c r="Y3087" s="1"/>
      <c r="Z3087" s="1"/>
    </row>
    <row r="3088" customFormat="false" ht="21.75" hidden="false" customHeight="true" outlineLevel="0" collapsed="false">
      <c r="A3088" s="4" t="n">
        <v>43505</v>
      </c>
      <c r="B3088" s="46" t="s">
        <v>352</v>
      </c>
      <c r="C3088" s="46" t="s">
        <v>15</v>
      </c>
      <c r="D3088" s="46" t="s">
        <v>43</v>
      </c>
      <c r="E3088" s="46" t="s">
        <v>883</v>
      </c>
      <c r="F3088" s="46" t="s">
        <v>7138</v>
      </c>
      <c r="G3088" s="46" t="n">
        <f aca="false">+593988455846</f>
        <v>593988455846</v>
      </c>
      <c r="H3088" s="46" t="s">
        <v>7139</v>
      </c>
      <c r="I3088" s="46"/>
      <c r="J3088" s="1"/>
      <c r="K3088" s="1" t="s">
        <v>1156</v>
      </c>
      <c r="L3088" s="1" t="s">
        <v>1149</v>
      </c>
      <c r="M3088" s="1"/>
      <c r="N3088" s="1"/>
      <c r="O3088" s="1"/>
      <c r="P3088" s="6"/>
      <c r="Q3088" s="1"/>
      <c r="R3088" s="1"/>
      <c r="S3088" s="1"/>
      <c r="T3088" s="1"/>
      <c r="U3088" s="1"/>
      <c r="V3088" s="1"/>
      <c r="W3088" s="1"/>
      <c r="X3088" s="1"/>
      <c r="Y3088" s="1"/>
      <c r="Z3088" s="1"/>
    </row>
    <row r="3089" customFormat="false" ht="21.75" hidden="false" customHeight="true" outlineLevel="0" collapsed="false">
      <c r="A3089" s="4" t="n">
        <v>43505</v>
      </c>
      <c r="B3089" s="46" t="s">
        <v>352</v>
      </c>
      <c r="C3089" s="46" t="s">
        <v>15</v>
      </c>
      <c r="D3089" s="46" t="s">
        <v>43</v>
      </c>
      <c r="E3089" s="46" t="s">
        <v>883</v>
      </c>
      <c r="F3089" s="46" t="s">
        <v>7140</v>
      </c>
      <c r="G3089" s="46" t="n">
        <f aca="false">+593993580549</f>
        <v>593993580549</v>
      </c>
      <c r="H3089" s="46" t="s">
        <v>7141</v>
      </c>
      <c r="I3089" s="46"/>
      <c r="J3089" s="1"/>
      <c r="K3089" s="1" t="s">
        <v>6478</v>
      </c>
      <c r="L3089" s="1"/>
      <c r="M3089" s="1"/>
      <c r="N3089" s="1"/>
      <c r="O3089" s="1"/>
      <c r="P3089" s="6"/>
      <c r="Q3089" s="1"/>
      <c r="R3089" s="1"/>
      <c r="S3089" s="1"/>
      <c r="T3089" s="1"/>
      <c r="U3089" s="1"/>
      <c r="V3089" s="1"/>
      <c r="W3089" s="1"/>
      <c r="X3089" s="1"/>
      <c r="Y3089" s="1"/>
      <c r="Z3089" s="1"/>
    </row>
    <row r="3090" customFormat="false" ht="21.75" hidden="false" customHeight="true" outlineLevel="0" collapsed="false">
      <c r="A3090" s="4" t="n">
        <v>43505</v>
      </c>
      <c r="B3090" s="46" t="s">
        <v>1114</v>
      </c>
      <c r="C3090" s="46" t="s">
        <v>15</v>
      </c>
      <c r="D3090" s="46" t="s">
        <v>43</v>
      </c>
      <c r="E3090" s="46" t="s">
        <v>883</v>
      </c>
      <c r="F3090" s="46" t="s">
        <v>7142</v>
      </c>
      <c r="G3090" s="46" t="n">
        <f aca="false">+593997624437</f>
        <v>593997624437</v>
      </c>
      <c r="H3090" s="46" t="s">
        <v>7143</v>
      </c>
      <c r="I3090" s="46"/>
      <c r="J3090" s="1"/>
      <c r="K3090" s="1" t="s">
        <v>1156</v>
      </c>
      <c r="L3090" s="1" t="s">
        <v>6616</v>
      </c>
      <c r="M3090" s="1"/>
      <c r="N3090" s="1"/>
      <c r="O3090" s="1"/>
      <c r="P3090" s="6"/>
      <c r="Q3090" s="1"/>
      <c r="R3090" s="1"/>
      <c r="S3090" s="1"/>
      <c r="T3090" s="1"/>
      <c r="U3090" s="1"/>
      <c r="V3090" s="1"/>
      <c r="W3090" s="1"/>
      <c r="X3090" s="1"/>
      <c r="Y3090" s="1"/>
      <c r="Z3090" s="1"/>
    </row>
    <row r="3091" customFormat="false" ht="21.75" hidden="false" customHeight="true" outlineLevel="0" collapsed="false">
      <c r="A3091" s="4" t="n">
        <v>43505</v>
      </c>
      <c r="B3091" s="46" t="s">
        <v>48</v>
      </c>
      <c r="C3091" s="46" t="s">
        <v>15</v>
      </c>
      <c r="D3091" s="46" t="s">
        <v>43</v>
      </c>
      <c r="E3091" s="46" t="s">
        <v>883</v>
      </c>
      <c r="F3091" s="46" t="s">
        <v>7144</v>
      </c>
      <c r="G3091" s="46" t="n">
        <f aca="false">+593991158106</f>
        <v>593991158106</v>
      </c>
      <c r="H3091" s="46" t="s">
        <v>7145</v>
      </c>
      <c r="I3091" s="46"/>
      <c r="J3091" s="1"/>
      <c r="K3091" s="1" t="s">
        <v>7146</v>
      </c>
      <c r="L3091" s="1"/>
      <c r="M3091" s="1"/>
      <c r="N3091" s="1"/>
      <c r="O3091" s="1"/>
      <c r="P3091" s="6"/>
      <c r="Q3091" s="1"/>
      <c r="R3091" s="1"/>
      <c r="S3091" s="1"/>
      <c r="T3091" s="1"/>
      <c r="U3091" s="1"/>
      <c r="V3091" s="1"/>
      <c r="W3091" s="1"/>
      <c r="X3091" s="1"/>
      <c r="Y3091" s="1"/>
      <c r="Z3091" s="1"/>
    </row>
    <row r="3092" customFormat="false" ht="21.75" hidden="false" customHeight="true" outlineLevel="0" collapsed="false">
      <c r="A3092" s="4" t="n">
        <v>43505</v>
      </c>
      <c r="B3092" s="46" t="s">
        <v>178</v>
      </c>
      <c r="C3092" s="46" t="s">
        <v>15</v>
      </c>
      <c r="D3092" s="46" t="s">
        <v>43</v>
      </c>
      <c r="E3092" s="46" t="s">
        <v>109</v>
      </c>
      <c r="F3092" s="46" t="s">
        <v>7147</v>
      </c>
      <c r="G3092" s="46" t="n">
        <f aca="false">+593981232839</f>
        <v>593981232839</v>
      </c>
      <c r="H3092" s="46" t="s">
        <v>7148</v>
      </c>
      <c r="I3092" s="46"/>
      <c r="J3092" s="1"/>
      <c r="K3092" s="1" t="s">
        <v>1156</v>
      </c>
      <c r="L3092" s="1" t="s">
        <v>6478</v>
      </c>
      <c r="M3092" s="1"/>
      <c r="N3092" s="1"/>
      <c r="O3092" s="1"/>
      <c r="P3092" s="6"/>
      <c r="Q3092" s="1"/>
      <c r="R3092" s="1"/>
      <c r="S3092" s="1"/>
      <c r="T3092" s="1"/>
      <c r="U3092" s="1"/>
      <c r="V3092" s="1"/>
      <c r="W3092" s="1"/>
      <c r="X3092" s="1"/>
      <c r="Y3092" s="1"/>
      <c r="Z3092" s="1"/>
    </row>
    <row r="3093" customFormat="false" ht="21.75" hidden="false" customHeight="true" outlineLevel="0" collapsed="false">
      <c r="A3093" s="4" t="n">
        <v>43505</v>
      </c>
      <c r="B3093" s="46" t="s">
        <v>323</v>
      </c>
      <c r="C3093" s="46" t="s">
        <v>15</v>
      </c>
      <c r="D3093" s="46" t="s">
        <v>43</v>
      </c>
      <c r="E3093" s="46" t="s">
        <v>109</v>
      </c>
      <c r="F3093" s="46" t="s">
        <v>7149</v>
      </c>
      <c r="G3093" s="46" t="n">
        <f aca="false">+593978714916</f>
        <v>593978714916</v>
      </c>
      <c r="H3093" s="46" t="s">
        <v>7150</v>
      </c>
      <c r="I3093" s="46"/>
      <c r="J3093" s="1"/>
      <c r="K3093" s="1" t="s">
        <v>7151</v>
      </c>
      <c r="L3093" s="1"/>
      <c r="M3093" s="1"/>
      <c r="N3093" s="1"/>
      <c r="O3093" s="1"/>
      <c r="P3093" s="6"/>
      <c r="Q3093" s="1"/>
      <c r="R3093" s="1"/>
      <c r="S3093" s="1"/>
      <c r="T3093" s="1"/>
      <c r="U3093" s="1"/>
      <c r="V3093" s="1"/>
      <c r="W3093" s="1"/>
      <c r="X3093" s="1"/>
      <c r="Y3093" s="1"/>
      <c r="Z3093" s="1"/>
    </row>
    <row r="3094" customFormat="false" ht="21.75" hidden="false" customHeight="true" outlineLevel="0" collapsed="false">
      <c r="A3094" s="4" t="n">
        <v>43505</v>
      </c>
      <c r="B3094" s="46" t="s">
        <v>1114</v>
      </c>
      <c r="C3094" s="46" t="s">
        <v>15</v>
      </c>
      <c r="D3094" s="46" t="s">
        <v>43</v>
      </c>
      <c r="E3094" s="46" t="s">
        <v>109</v>
      </c>
      <c r="F3094" s="46" t="s">
        <v>7152</v>
      </c>
      <c r="G3094" s="46" t="n">
        <f aca="false">+593999512894</f>
        <v>593999512894</v>
      </c>
      <c r="H3094" s="46" t="s">
        <v>7153</v>
      </c>
      <c r="I3094" s="46"/>
      <c r="J3094" s="1"/>
      <c r="K3094" s="1" t="s">
        <v>1156</v>
      </c>
      <c r="L3094" s="1" t="s">
        <v>21</v>
      </c>
      <c r="M3094" s="1"/>
      <c r="N3094" s="1"/>
      <c r="O3094" s="1"/>
      <c r="P3094" s="6"/>
      <c r="Q3094" s="1"/>
      <c r="R3094" s="1"/>
      <c r="S3094" s="1"/>
      <c r="T3094" s="1"/>
      <c r="U3094" s="1"/>
      <c r="V3094" s="1"/>
      <c r="W3094" s="1"/>
      <c r="X3094" s="1"/>
      <c r="Y3094" s="1"/>
      <c r="Z3094" s="1"/>
    </row>
    <row r="3095" customFormat="false" ht="21.75" hidden="false" customHeight="true" outlineLevel="0" collapsed="false">
      <c r="A3095" s="4" t="n">
        <v>43505</v>
      </c>
      <c r="B3095" s="46" t="s">
        <v>352</v>
      </c>
      <c r="C3095" s="46" t="s">
        <v>15</v>
      </c>
      <c r="D3095" s="46" t="s">
        <v>43</v>
      </c>
      <c r="E3095" s="46" t="s">
        <v>109</v>
      </c>
      <c r="F3095" s="46" t="s">
        <v>7154</v>
      </c>
      <c r="G3095" s="46" t="n">
        <f aca="false">+593992102073</f>
        <v>593992102073</v>
      </c>
      <c r="H3095" s="46" t="s">
        <v>7155</v>
      </c>
      <c r="I3095" s="46"/>
      <c r="J3095" s="1"/>
      <c r="K3095" s="1" t="s">
        <v>7156</v>
      </c>
      <c r="L3095" s="1"/>
      <c r="M3095" s="1"/>
      <c r="N3095" s="1"/>
      <c r="O3095" s="1"/>
      <c r="P3095" s="6"/>
      <c r="Q3095" s="1"/>
      <c r="R3095" s="1"/>
      <c r="S3095" s="1"/>
      <c r="T3095" s="1"/>
      <c r="U3095" s="1"/>
      <c r="V3095" s="1"/>
      <c r="W3095" s="1"/>
      <c r="X3095" s="1"/>
      <c r="Y3095" s="1"/>
      <c r="Z3095" s="1"/>
    </row>
    <row r="3096" customFormat="false" ht="21.75" hidden="false" customHeight="true" outlineLevel="0" collapsed="false">
      <c r="A3096" s="4" t="n">
        <v>43505</v>
      </c>
      <c r="B3096" s="46" t="s">
        <v>48</v>
      </c>
      <c r="C3096" s="46" t="s">
        <v>26</v>
      </c>
      <c r="D3096" s="46" t="s">
        <v>43</v>
      </c>
      <c r="E3096" s="46" t="s">
        <v>109</v>
      </c>
      <c r="F3096" s="46" t="s">
        <v>7157</v>
      </c>
      <c r="G3096" s="46" t="n">
        <f aca="false">+593969513558</f>
        <v>593969513558</v>
      </c>
      <c r="H3096" s="46" t="s">
        <v>7158</v>
      </c>
      <c r="I3096" s="46"/>
      <c r="J3096" s="1"/>
      <c r="K3096" s="1" t="s">
        <v>1156</v>
      </c>
      <c r="L3096" s="1" t="s">
        <v>21</v>
      </c>
      <c r="M3096" s="1"/>
      <c r="N3096" s="1"/>
      <c r="O3096" s="1"/>
      <c r="P3096" s="6"/>
      <c r="Q3096" s="1"/>
      <c r="R3096" s="1"/>
      <c r="S3096" s="1"/>
      <c r="T3096" s="1"/>
      <c r="U3096" s="1"/>
      <c r="V3096" s="1"/>
      <c r="W3096" s="1"/>
      <c r="X3096" s="1"/>
      <c r="Y3096" s="1"/>
      <c r="Z3096" s="1"/>
    </row>
    <row r="3097" customFormat="false" ht="21.75" hidden="false" customHeight="true" outlineLevel="0" collapsed="false">
      <c r="A3097" s="4" t="n">
        <v>43505</v>
      </c>
      <c r="B3097" s="46" t="s">
        <v>415</v>
      </c>
      <c r="C3097" s="46" t="s">
        <v>15</v>
      </c>
      <c r="D3097" s="46" t="s">
        <v>43</v>
      </c>
      <c r="E3097" s="46" t="s">
        <v>109</v>
      </c>
      <c r="F3097" s="46" t="s">
        <v>7159</v>
      </c>
      <c r="G3097" s="57" t="n">
        <v>960255823</v>
      </c>
      <c r="H3097" s="46" t="s">
        <v>7160</v>
      </c>
      <c r="I3097" s="46"/>
      <c r="J3097" s="1"/>
      <c r="K3097" s="1" t="s">
        <v>6619</v>
      </c>
      <c r="L3097" s="1"/>
      <c r="M3097" s="1"/>
      <c r="N3097" s="1"/>
      <c r="O3097" s="1"/>
      <c r="P3097" s="6"/>
      <c r="Q3097" s="1"/>
      <c r="R3097" s="1"/>
      <c r="S3097" s="1"/>
      <c r="T3097" s="1"/>
      <c r="U3097" s="1"/>
      <c r="V3097" s="1"/>
      <c r="W3097" s="1"/>
      <c r="X3097" s="1"/>
      <c r="Y3097" s="1"/>
      <c r="Z3097" s="1"/>
    </row>
    <row r="3098" customFormat="false" ht="21.75" hidden="false" customHeight="true" outlineLevel="0" collapsed="false">
      <c r="A3098" s="4" t="n">
        <v>43505</v>
      </c>
      <c r="B3098" s="46" t="s">
        <v>352</v>
      </c>
      <c r="C3098" s="46" t="s">
        <v>15</v>
      </c>
      <c r="D3098" s="46" t="s">
        <v>43</v>
      </c>
      <c r="E3098" s="46" t="s">
        <v>109</v>
      </c>
      <c r="F3098" s="46" t="s">
        <v>7161</v>
      </c>
      <c r="G3098" s="46" t="n">
        <f aca="false">+593960467621</f>
        <v>593960467621</v>
      </c>
      <c r="H3098" s="46" t="s">
        <v>7162</v>
      </c>
      <c r="I3098" s="46"/>
      <c r="J3098" s="1"/>
      <c r="K3098" s="1" t="s">
        <v>7163</v>
      </c>
      <c r="L3098" s="1"/>
      <c r="M3098" s="1"/>
      <c r="N3098" s="1"/>
      <c r="O3098" s="1"/>
      <c r="P3098" s="6"/>
      <c r="Q3098" s="1"/>
      <c r="R3098" s="1"/>
      <c r="S3098" s="1"/>
      <c r="T3098" s="1"/>
      <c r="U3098" s="1"/>
      <c r="V3098" s="1"/>
      <c r="W3098" s="1"/>
      <c r="X3098" s="1"/>
      <c r="Y3098" s="1"/>
      <c r="Z3098" s="1"/>
    </row>
    <row r="3099" customFormat="false" ht="21.75" hidden="false" customHeight="true" outlineLevel="0" collapsed="false">
      <c r="A3099" s="4" t="n">
        <v>43505</v>
      </c>
      <c r="B3099" s="46" t="s">
        <v>1114</v>
      </c>
      <c r="C3099" s="46" t="s">
        <v>15</v>
      </c>
      <c r="D3099" s="46" t="s">
        <v>43</v>
      </c>
      <c r="E3099" s="46" t="s">
        <v>109</v>
      </c>
      <c r="F3099" s="46" t="s">
        <v>7164</v>
      </c>
      <c r="G3099" s="46" t="n">
        <f aca="false">+593981849264</f>
        <v>593981849264</v>
      </c>
      <c r="H3099" s="46" t="s">
        <v>7165</v>
      </c>
      <c r="I3099" s="46"/>
      <c r="J3099" s="1"/>
      <c r="K3099" s="1" t="s">
        <v>7166</v>
      </c>
      <c r="L3099" s="1"/>
      <c r="M3099" s="1"/>
      <c r="N3099" s="1"/>
      <c r="O3099" s="1"/>
      <c r="P3099" s="6"/>
      <c r="Q3099" s="1"/>
      <c r="R3099" s="1"/>
      <c r="S3099" s="1"/>
      <c r="T3099" s="1"/>
      <c r="U3099" s="1"/>
      <c r="V3099" s="1"/>
      <c r="W3099" s="1"/>
      <c r="X3099" s="1"/>
      <c r="Y3099" s="1"/>
      <c r="Z3099" s="1"/>
    </row>
    <row r="3100" customFormat="false" ht="21.75" hidden="false" customHeight="true" outlineLevel="0" collapsed="false">
      <c r="A3100" s="4" t="n">
        <v>43505</v>
      </c>
      <c r="B3100" s="46" t="s">
        <v>323</v>
      </c>
      <c r="C3100" s="46" t="s">
        <v>15</v>
      </c>
      <c r="D3100" s="46" t="s">
        <v>43</v>
      </c>
      <c r="E3100" s="46" t="s">
        <v>109</v>
      </c>
      <c r="F3100" s="46" t="s">
        <v>7167</v>
      </c>
      <c r="G3100" s="46" t="n">
        <f aca="false">+593989169391</f>
        <v>593989169391</v>
      </c>
      <c r="H3100" s="46" t="s">
        <v>7168</v>
      </c>
      <c r="I3100" s="46"/>
      <c r="J3100" s="1"/>
      <c r="K3100" s="1" t="s">
        <v>2200</v>
      </c>
      <c r="L3100" s="1"/>
      <c r="M3100" s="1"/>
      <c r="N3100" s="1"/>
      <c r="O3100" s="1"/>
      <c r="P3100" s="6"/>
      <c r="Q3100" s="1"/>
      <c r="R3100" s="1"/>
      <c r="S3100" s="1"/>
      <c r="T3100" s="1"/>
      <c r="U3100" s="1"/>
      <c r="V3100" s="1"/>
      <c r="W3100" s="1"/>
      <c r="X3100" s="1"/>
      <c r="Y3100" s="1"/>
      <c r="Z3100" s="1"/>
    </row>
    <row r="3101" customFormat="false" ht="21.75" hidden="false" customHeight="true" outlineLevel="0" collapsed="false">
      <c r="A3101" s="4" t="n">
        <v>43505</v>
      </c>
      <c r="B3101" s="46" t="s">
        <v>1478</v>
      </c>
      <c r="C3101" s="46" t="s">
        <v>15</v>
      </c>
      <c r="D3101" s="46" t="s">
        <v>43</v>
      </c>
      <c r="E3101" s="46" t="s">
        <v>109</v>
      </c>
      <c r="F3101" s="46" t="s">
        <v>7169</v>
      </c>
      <c r="G3101" s="46" t="n">
        <f aca="false">+5930979717375</f>
        <v>5930979717375</v>
      </c>
      <c r="H3101" s="46" t="s">
        <v>7170</v>
      </c>
      <c r="I3101" s="46"/>
      <c r="J3101" s="1"/>
      <c r="K3101" s="1" t="s">
        <v>21</v>
      </c>
      <c r="L3101" s="1" t="s">
        <v>21</v>
      </c>
      <c r="M3101" s="1"/>
      <c r="N3101" s="1"/>
      <c r="O3101" s="1"/>
      <c r="P3101" s="6"/>
      <c r="Q3101" s="1"/>
      <c r="R3101" s="1"/>
      <c r="S3101" s="1"/>
      <c r="T3101" s="1"/>
      <c r="U3101" s="1"/>
      <c r="V3101" s="1"/>
      <c r="W3101" s="1"/>
      <c r="X3101" s="1"/>
      <c r="Y3101" s="1"/>
      <c r="Z3101" s="1"/>
    </row>
    <row r="3102" customFormat="false" ht="21.75" hidden="false" customHeight="true" outlineLevel="0" collapsed="false">
      <c r="A3102" s="4" t="n">
        <v>43505</v>
      </c>
      <c r="B3102" s="46" t="s">
        <v>1106</v>
      </c>
      <c r="C3102" s="46" t="s">
        <v>15</v>
      </c>
      <c r="D3102" s="46" t="s">
        <v>43</v>
      </c>
      <c r="E3102" s="46" t="s">
        <v>109</v>
      </c>
      <c r="F3102" s="46" t="s">
        <v>7171</v>
      </c>
      <c r="G3102" s="46" t="n">
        <f aca="false">+593997411157</f>
        <v>593997411157</v>
      </c>
      <c r="H3102" s="46" t="s">
        <v>7172</v>
      </c>
      <c r="I3102" s="46"/>
      <c r="J3102" s="1"/>
      <c r="K3102" s="1" t="s">
        <v>5754</v>
      </c>
      <c r="L3102" s="1"/>
      <c r="M3102" s="1"/>
      <c r="N3102" s="1"/>
      <c r="O3102" s="1"/>
      <c r="P3102" s="6"/>
      <c r="Q3102" s="1"/>
      <c r="R3102" s="1"/>
      <c r="S3102" s="1"/>
      <c r="T3102" s="1"/>
      <c r="U3102" s="1"/>
      <c r="V3102" s="1"/>
      <c r="W3102" s="1"/>
      <c r="X3102" s="1"/>
      <c r="Y3102" s="1"/>
      <c r="Z3102" s="1"/>
    </row>
    <row r="3103" customFormat="false" ht="21.75" hidden="false" customHeight="true" outlineLevel="0" collapsed="false">
      <c r="A3103" s="4" t="n">
        <v>43505</v>
      </c>
      <c r="B3103" s="46" t="s">
        <v>178</v>
      </c>
      <c r="C3103" s="46" t="s">
        <v>15</v>
      </c>
      <c r="D3103" s="46" t="s">
        <v>43</v>
      </c>
      <c r="E3103" s="46" t="s">
        <v>109</v>
      </c>
      <c r="F3103" s="46" t="s">
        <v>7173</v>
      </c>
      <c r="G3103" s="46" t="n">
        <f aca="false">+593991758311</f>
        <v>593991758311</v>
      </c>
      <c r="H3103" s="46" t="s">
        <v>7174</v>
      </c>
      <c r="I3103" s="46"/>
      <c r="J3103" s="1"/>
      <c r="K3103" s="1" t="s">
        <v>21</v>
      </c>
      <c r="L3103" s="1" t="s">
        <v>21</v>
      </c>
      <c r="M3103" s="1"/>
      <c r="N3103" s="1"/>
      <c r="O3103" s="1"/>
      <c r="P3103" s="6"/>
      <c r="Q3103" s="1"/>
      <c r="R3103" s="1"/>
      <c r="S3103" s="1"/>
      <c r="T3103" s="1"/>
      <c r="U3103" s="1"/>
      <c r="V3103" s="1"/>
      <c r="W3103" s="1"/>
      <c r="X3103" s="1"/>
      <c r="Y3103" s="1"/>
      <c r="Z3103" s="1"/>
    </row>
    <row r="3104" customFormat="false" ht="21.75" hidden="false" customHeight="true" outlineLevel="0" collapsed="false">
      <c r="A3104" s="4" t="n">
        <v>43505</v>
      </c>
      <c r="B3104" s="46" t="s">
        <v>1106</v>
      </c>
      <c r="C3104" s="46" t="s">
        <v>26</v>
      </c>
      <c r="D3104" s="46" t="s">
        <v>43</v>
      </c>
      <c r="E3104" s="46" t="s">
        <v>109</v>
      </c>
      <c r="F3104" s="46" t="s">
        <v>7175</v>
      </c>
      <c r="G3104" s="46" t="n">
        <f aca="false">+593993876852</f>
        <v>593993876852</v>
      </c>
      <c r="H3104" s="46" t="s">
        <v>7176</v>
      </c>
      <c r="I3104" s="46"/>
      <c r="J3104" s="1"/>
      <c r="K3104" s="1" t="s">
        <v>7177</v>
      </c>
      <c r="L3104" s="1"/>
      <c r="M3104" s="1"/>
      <c r="N3104" s="1"/>
      <c r="O3104" s="1"/>
      <c r="P3104" s="6"/>
      <c r="Q3104" s="1"/>
      <c r="R3104" s="1"/>
      <c r="S3104" s="1"/>
      <c r="T3104" s="1"/>
      <c r="U3104" s="1"/>
      <c r="V3104" s="1"/>
      <c r="W3104" s="1"/>
      <c r="X3104" s="1"/>
      <c r="Y3104" s="1"/>
      <c r="Z3104" s="1"/>
    </row>
    <row r="3105" customFormat="false" ht="21.75" hidden="false" customHeight="true" outlineLevel="0" collapsed="false">
      <c r="A3105" s="4" t="n">
        <v>43505</v>
      </c>
      <c r="B3105" s="46" t="s">
        <v>352</v>
      </c>
      <c r="C3105" s="46" t="s">
        <v>15</v>
      </c>
      <c r="D3105" s="46" t="s">
        <v>43</v>
      </c>
      <c r="E3105" s="46" t="s">
        <v>109</v>
      </c>
      <c r="F3105" s="46" t="s">
        <v>7178</v>
      </c>
      <c r="G3105" s="46" t="n">
        <f aca="false">+593982833416</f>
        <v>593982833416</v>
      </c>
      <c r="H3105" s="46" t="s">
        <v>7179</v>
      </c>
      <c r="I3105" s="46"/>
      <c r="J3105" s="1"/>
      <c r="K3105" s="1" t="s">
        <v>21</v>
      </c>
      <c r="L3105" s="1" t="s">
        <v>673</v>
      </c>
      <c r="M3105" s="1"/>
      <c r="N3105" s="1"/>
      <c r="O3105" s="1"/>
      <c r="P3105" s="6"/>
      <c r="Q3105" s="1"/>
      <c r="R3105" s="1"/>
      <c r="S3105" s="1"/>
      <c r="T3105" s="1"/>
      <c r="U3105" s="1"/>
      <c r="V3105" s="1"/>
      <c r="W3105" s="1"/>
      <c r="X3105" s="1"/>
      <c r="Y3105" s="1"/>
      <c r="Z3105" s="1"/>
    </row>
    <row r="3106" customFormat="false" ht="21.75" hidden="false" customHeight="true" outlineLevel="0" collapsed="false">
      <c r="A3106" s="4" t="n">
        <v>43505</v>
      </c>
      <c r="B3106" s="46" t="s">
        <v>127</v>
      </c>
      <c r="C3106" s="46" t="s">
        <v>15</v>
      </c>
      <c r="D3106" s="46" t="s">
        <v>43</v>
      </c>
      <c r="E3106" s="46" t="s">
        <v>109</v>
      </c>
      <c r="F3106" s="46" t="s">
        <v>7180</v>
      </c>
      <c r="G3106" s="46" t="n">
        <f aca="false">+59345039548</f>
        <v>59345039548</v>
      </c>
      <c r="H3106" s="46" t="s">
        <v>7181</v>
      </c>
      <c r="I3106" s="46"/>
      <c r="J3106" s="1"/>
      <c r="K3106" s="1" t="s">
        <v>21</v>
      </c>
      <c r="L3106" s="1" t="s">
        <v>21</v>
      </c>
      <c r="M3106" s="1"/>
      <c r="N3106" s="1"/>
      <c r="O3106" s="1"/>
      <c r="P3106" s="6"/>
      <c r="Q3106" s="1"/>
      <c r="R3106" s="1"/>
      <c r="S3106" s="1"/>
      <c r="T3106" s="1"/>
      <c r="U3106" s="1"/>
      <c r="V3106" s="1"/>
      <c r="W3106" s="1"/>
      <c r="X3106" s="1"/>
      <c r="Y3106" s="1"/>
      <c r="Z3106" s="1"/>
    </row>
    <row r="3107" customFormat="false" ht="21.75" hidden="false" customHeight="true" outlineLevel="0" collapsed="false">
      <c r="A3107" s="4" t="n">
        <v>43505</v>
      </c>
      <c r="B3107" s="46" t="s">
        <v>127</v>
      </c>
      <c r="C3107" s="46" t="s">
        <v>15</v>
      </c>
      <c r="D3107" s="46" t="s">
        <v>43</v>
      </c>
      <c r="E3107" s="46" t="s">
        <v>109</v>
      </c>
      <c r="F3107" s="46" t="s">
        <v>7182</v>
      </c>
      <c r="G3107" s="46" t="n">
        <f aca="false">+593980879339</f>
        <v>593980879339</v>
      </c>
      <c r="H3107" s="46" t="s">
        <v>7183</v>
      </c>
      <c r="I3107" s="46"/>
      <c r="J3107" s="1"/>
      <c r="K3107" s="1" t="s">
        <v>21</v>
      </c>
      <c r="L3107" s="1" t="s">
        <v>21</v>
      </c>
      <c r="M3107" s="1"/>
      <c r="N3107" s="1"/>
      <c r="O3107" s="1"/>
      <c r="P3107" s="6"/>
      <c r="Q3107" s="1"/>
      <c r="R3107" s="1"/>
      <c r="S3107" s="1"/>
      <c r="T3107" s="1"/>
      <c r="U3107" s="1"/>
      <c r="V3107" s="1"/>
      <c r="W3107" s="1"/>
      <c r="X3107" s="1"/>
      <c r="Y3107" s="1"/>
      <c r="Z3107" s="1"/>
    </row>
    <row r="3108" customFormat="false" ht="21.75" hidden="false" customHeight="true" outlineLevel="0" collapsed="false">
      <c r="A3108" s="4" t="n">
        <v>43505</v>
      </c>
      <c r="B3108" s="46" t="s">
        <v>1106</v>
      </c>
      <c r="C3108" s="46" t="s">
        <v>26</v>
      </c>
      <c r="D3108" s="46" t="s">
        <v>43</v>
      </c>
      <c r="E3108" s="46" t="s">
        <v>109</v>
      </c>
      <c r="F3108" s="46" t="s">
        <v>7184</v>
      </c>
      <c r="G3108" s="46" t="n">
        <f aca="false">+593981496052</f>
        <v>593981496052</v>
      </c>
      <c r="H3108" s="46" t="s">
        <v>7185</v>
      </c>
      <c r="I3108" s="46"/>
      <c r="J3108" s="1"/>
      <c r="K3108" s="1" t="s">
        <v>21</v>
      </c>
      <c r="L3108" s="1" t="s">
        <v>21</v>
      </c>
      <c r="M3108" s="1"/>
      <c r="N3108" s="1"/>
      <c r="O3108" s="1"/>
      <c r="P3108" s="6"/>
      <c r="Q3108" s="1"/>
      <c r="R3108" s="1"/>
      <c r="S3108" s="1"/>
      <c r="T3108" s="1"/>
      <c r="U3108" s="1"/>
      <c r="V3108" s="1"/>
      <c r="W3108" s="1"/>
      <c r="X3108" s="1"/>
      <c r="Y3108" s="1"/>
      <c r="Z3108" s="1"/>
    </row>
    <row r="3109" customFormat="false" ht="21.75" hidden="false" customHeight="true" outlineLevel="0" collapsed="false">
      <c r="A3109" s="4" t="n">
        <v>43505</v>
      </c>
      <c r="B3109" s="46" t="s">
        <v>48</v>
      </c>
      <c r="C3109" s="46" t="s">
        <v>15</v>
      </c>
      <c r="D3109" s="46" t="s">
        <v>43</v>
      </c>
      <c r="E3109" s="46" t="s">
        <v>109</v>
      </c>
      <c r="F3109" s="46" t="s">
        <v>7186</v>
      </c>
      <c r="G3109" s="46" t="n">
        <f aca="false">+593986076573</f>
        <v>593986076573</v>
      </c>
      <c r="H3109" s="46" t="s">
        <v>7187</v>
      </c>
      <c r="I3109" s="46"/>
      <c r="J3109" s="1"/>
      <c r="K3109" s="1" t="s">
        <v>7188</v>
      </c>
      <c r="L3109" s="1"/>
      <c r="M3109" s="1"/>
      <c r="N3109" s="1"/>
      <c r="O3109" s="1"/>
      <c r="P3109" s="6"/>
      <c r="Q3109" s="1"/>
      <c r="R3109" s="1"/>
      <c r="S3109" s="1"/>
      <c r="T3109" s="1"/>
      <c r="U3109" s="1"/>
      <c r="V3109" s="1"/>
      <c r="W3109" s="1"/>
      <c r="X3109" s="1"/>
      <c r="Y3109" s="1"/>
      <c r="Z3109" s="1"/>
    </row>
    <row r="3110" customFormat="false" ht="21.75" hidden="false" customHeight="true" outlineLevel="0" collapsed="false">
      <c r="A3110" s="4" t="n">
        <v>43505</v>
      </c>
      <c r="B3110" s="46" t="s">
        <v>48</v>
      </c>
      <c r="C3110" s="46" t="s">
        <v>15</v>
      </c>
      <c r="D3110" s="46" t="s">
        <v>43</v>
      </c>
      <c r="E3110" s="46" t="s">
        <v>109</v>
      </c>
      <c r="F3110" s="46" t="s">
        <v>7189</v>
      </c>
      <c r="G3110" s="46" t="n">
        <f aca="false">+593042538463</f>
        <v>593042538463</v>
      </c>
      <c r="H3110" s="46" t="s">
        <v>7190</v>
      </c>
      <c r="I3110" s="46"/>
      <c r="J3110" s="1"/>
      <c r="K3110" s="1" t="s">
        <v>21</v>
      </c>
      <c r="L3110" s="1" t="s">
        <v>21</v>
      </c>
      <c r="M3110" s="1"/>
      <c r="N3110" s="1"/>
      <c r="O3110" s="1"/>
      <c r="P3110" s="6"/>
      <c r="Q3110" s="1"/>
      <c r="R3110" s="1"/>
      <c r="S3110" s="1"/>
      <c r="T3110" s="1"/>
      <c r="U3110" s="1"/>
      <c r="V3110" s="1"/>
      <c r="W3110" s="1"/>
      <c r="X3110" s="1"/>
      <c r="Y3110" s="1"/>
      <c r="Z3110" s="1"/>
    </row>
    <row r="3111" customFormat="false" ht="21.75" hidden="false" customHeight="true" outlineLevel="0" collapsed="false">
      <c r="A3111" s="4" t="n">
        <v>43505</v>
      </c>
      <c r="B3111" s="46" t="s">
        <v>48</v>
      </c>
      <c r="C3111" s="46" t="s">
        <v>15</v>
      </c>
      <c r="D3111" s="46" t="s">
        <v>43</v>
      </c>
      <c r="E3111" s="46" t="s">
        <v>109</v>
      </c>
      <c r="F3111" s="46" t="s">
        <v>7191</v>
      </c>
      <c r="G3111" s="57" t="n">
        <v>939690758</v>
      </c>
      <c r="H3111" s="46" t="s">
        <v>7192</v>
      </c>
      <c r="I3111" s="46"/>
      <c r="J3111" s="1"/>
      <c r="K3111" s="1" t="s">
        <v>21</v>
      </c>
      <c r="L3111" s="1" t="s">
        <v>673</v>
      </c>
      <c r="M3111" s="1"/>
      <c r="N3111" s="1"/>
      <c r="O3111" s="1"/>
      <c r="P3111" s="6"/>
      <c r="Q3111" s="1"/>
      <c r="R3111" s="1"/>
      <c r="S3111" s="1"/>
      <c r="T3111" s="1"/>
      <c r="U3111" s="1"/>
      <c r="V3111" s="1"/>
      <c r="W3111" s="1"/>
      <c r="X3111" s="1"/>
      <c r="Y3111" s="1"/>
      <c r="Z3111" s="1"/>
    </row>
    <row r="3112" customFormat="false" ht="21.75" hidden="false" customHeight="true" outlineLevel="0" collapsed="false">
      <c r="A3112" s="4" t="n">
        <v>43505</v>
      </c>
      <c r="B3112" s="46" t="s">
        <v>323</v>
      </c>
      <c r="C3112" s="46" t="s">
        <v>15</v>
      </c>
      <c r="D3112" s="46" t="s">
        <v>43</v>
      </c>
      <c r="E3112" s="46" t="s">
        <v>109</v>
      </c>
      <c r="F3112" s="46" t="s">
        <v>7193</v>
      </c>
      <c r="G3112" s="46" t="n">
        <f aca="false">+593968168839</f>
        <v>593968168839</v>
      </c>
      <c r="H3112" s="46" t="s">
        <v>7194</v>
      </c>
      <c r="I3112" s="46"/>
      <c r="J3112" s="1"/>
      <c r="K3112" s="1" t="s">
        <v>7195</v>
      </c>
      <c r="L3112" s="1"/>
      <c r="M3112" s="1"/>
      <c r="N3112" s="1"/>
      <c r="O3112" s="1"/>
      <c r="P3112" s="6"/>
      <c r="Q3112" s="1"/>
      <c r="R3112" s="1"/>
      <c r="S3112" s="1"/>
      <c r="T3112" s="1"/>
      <c r="U3112" s="1"/>
      <c r="V3112" s="1"/>
      <c r="W3112" s="1"/>
      <c r="X3112" s="1"/>
      <c r="Y3112" s="1"/>
      <c r="Z3112" s="1"/>
    </row>
    <row r="3113" customFormat="false" ht="21.75" hidden="false" customHeight="true" outlineLevel="0" collapsed="false">
      <c r="A3113" s="4" t="n">
        <v>43505</v>
      </c>
      <c r="B3113" s="46" t="s">
        <v>1831</v>
      </c>
      <c r="C3113" s="46" t="s">
        <v>15</v>
      </c>
      <c r="D3113" s="46" t="s">
        <v>43</v>
      </c>
      <c r="E3113" s="46" t="s">
        <v>109</v>
      </c>
      <c r="F3113" s="46" t="s">
        <v>7196</v>
      </c>
      <c r="G3113" s="46" t="n">
        <f aca="false">+593939628514</f>
        <v>593939628514</v>
      </c>
      <c r="H3113" s="46" t="s">
        <v>7197</v>
      </c>
      <c r="I3113" s="46"/>
      <c r="J3113" s="1"/>
      <c r="K3113" s="1" t="s">
        <v>7198</v>
      </c>
      <c r="L3113" s="1"/>
      <c r="M3113" s="1"/>
      <c r="N3113" s="1"/>
      <c r="O3113" s="1"/>
      <c r="P3113" s="6"/>
      <c r="Q3113" s="1"/>
      <c r="R3113" s="1"/>
      <c r="S3113" s="1"/>
      <c r="T3113" s="1"/>
      <c r="U3113" s="1"/>
      <c r="V3113" s="1"/>
      <c r="W3113" s="1"/>
      <c r="X3113" s="1"/>
      <c r="Y3113" s="1"/>
      <c r="Z3113" s="1"/>
    </row>
    <row r="3114" customFormat="false" ht="21.75" hidden="false" customHeight="true" outlineLevel="0" collapsed="false">
      <c r="A3114" s="4" t="n">
        <v>43505</v>
      </c>
      <c r="B3114" s="46" t="s">
        <v>1106</v>
      </c>
      <c r="C3114" s="46" t="s">
        <v>15</v>
      </c>
      <c r="D3114" s="46" t="s">
        <v>43</v>
      </c>
      <c r="E3114" s="46" t="s">
        <v>109</v>
      </c>
      <c r="F3114" s="46" t="s">
        <v>7199</v>
      </c>
      <c r="G3114" s="46" t="n">
        <f aca="false">+593995802276</f>
        <v>593995802276</v>
      </c>
      <c r="H3114" s="46" t="s">
        <v>7200</v>
      </c>
      <c r="I3114" s="46"/>
      <c r="J3114" s="1"/>
      <c r="K3114" s="1" t="s">
        <v>1144</v>
      </c>
      <c r="L3114" s="1" t="s">
        <v>1027</v>
      </c>
      <c r="M3114" s="1"/>
      <c r="N3114" s="1"/>
      <c r="O3114" s="1"/>
      <c r="P3114" s="6"/>
      <c r="Q3114" s="1"/>
      <c r="R3114" s="1"/>
      <c r="S3114" s="1"/>
      <c r="T3114" s="1"/>
      <c r="U3114" s="1"/>
      <c r="V3114" s="1"/>
      <c r="W3114" s="1"/>
      <c r="X3114" s="1"/>
      <c r="Y3114" s="1"/>
      <c r="Z3114" s="1"/>
    </row>
    <row r="3115" customFormat="false" ht="21.75" hidden="false" customHeight="true" outlineLevel="0" collapsed="false">
      <c r="A3115" s="4" t="n">
        <v>43505</v>
      </c>
      <c r="B3115" s="46" t="s">
        <v>42</v>
      </c>
      <c r="C3115" s="46" t="s">
        <v>15</v>
      </c>
      <c r="D3115" s="46" t="s">
        <v>43</v>
      </c>
      <c r="E3115" s="46" t="s">
        <v>109</v>
      </c>
      <c r="F3115" s="46" t="s">
        <v>7201</v>
      </c>
      <c r="G3115" s="46" t="n">
        <f aca="false">+5930991403218</f>
        <v>5930991403218</v>
      </c>
      <c r="H3115" s="46" t="s">
        <v>7202</v>
      </c>
      <c r="I3115" s="46"/>
      <c r="J3115" s="1"/>
      <c r="K3115" s="1" t="s">
        <v>21</v>
      </c>
      <c r="L3115" s="1" t="s">
        <v>1027</v>
      </c>
      <c r="M3115" s="1"/>
      <c r="N3115" s="1"/>
      <c r="O3115" s="1"/>
      <c r="P3115" s="6"/>
      <c r="Q3115" s="1"/>
      <c r="R3115" s="1"/>
      <c r="S3115" s="1"/>
      <c r="T3115" s="1"/>
      <c r="U3115" s="1"/>
      <c r="V3115" s="1"/>
      <c r="W3115" s="1"/>
      <c r="X3115" s="1"/>
      <c r="Y3115" s="1"/>
      <c r="Z3115" s="1"/>
    </row>
    <row r="3116" customFormat="false" ht="21.75" hidden="false" customHeight="true" outlineLevel="0" collapsed="false">
      <c r="A3116" s="4" t="n">
        <v>43505</v>
      </c>
      <c r="B3116" s="46" t="s">
        <v>42</v>
      </c>
      <c r="C3116" s="46" t="s">
        <v>15</v>
      </c>
      <c r="D3116" s="46" t="s">
        <v>43</v>
      </c>
      <c r="E3116" s="46" t="s">
        <v>109</v>
      </c>
      <c r="F3116" s="46" t="s">
        <v>7203</v>
      </c>
      <c r="G3116" s="46" t="n">
        <f aca="false">+593988960288</f>
        <v>593988960288</v>
      </c>
      <c r="H3116" s="46" t="s">
        <v>7204</v>
      </c>
      <c r="I3116" s="46"/>
      <c r="J3116" s="1"/>
      <c r="K3116" s="1" t="s">
        <v>21</v>
      </c>
      <c r="L3116" s="1" t="s">
        <v>6458</v>
      </c>
      <c r="M3116" s="1"/>
      <c r="N3116" s="1"/>
      <c r="O3116" s="1"/>
      <c r="P3116" s="6"/>
      <c r="Q3116" s="1"/>
      <c r="R3116" s="1"/>
      <c r="S3116" s="1"/>
      <c r="T3116" s="1"/>
      <c r="U3116" s="1"/>
      <c r="V3116" s="1"/>
      <c r="W3116" s="1"/>
      <c r="X3116" s="1"/>
      <c r="Y3116" s="1"/>
      <c r="Z3116" s="1"/>
    </row>
    <row r="3117" customFormat="false" ht="21.75" hidden="false" customHeight="true" outlineLevel="0" collapsed="false">
      <c r="A3117" s="4" t="n">
        <v>43505</v>
      </c>
      <c r="B3117" s="46" t="s">
        <v>1106</v>
      </c>
      <c r="C3117" s="46" t="s">
        <v>26</v>
      </c>
      <c r="D3117" s="46" t="s">
        <v>43</v>
      </c>
      <c r="E3117" s="46" t="s">
        <v>109</v>
      </c>
      <c r="F3117" s="46" t="s">
        <v>7074</v>
      </c>
      <c r="G3117" s="46" t="n">
        <f aca="false">+5930968207716</f>
        <v>5930968207716</v>
      </c>
      <c r="H3117" s="46" t="s">
        <v>7205</v>
      </c>
      <c r="I3117" s="46"/>
      <c r="J3117" s="1"/>
      <c r="K3117" s="1" t="s">
        <v>7206</v>
      </c>
      <c r="L3117" s="1"/>
      <c r="M3117" s="1"/>
      <c r="N3117" s="1"/>
      <c r="O3117" s="1"/>
      <c r="P3117" s="6"/>
      <c r="Q3117" s="1"/>
      <c r="R3117" s="1"/>
      <c r="S3117" s="1"/>
      <c r="T3117" s="1"/>
      <c r="U3117" s="1"/>
      <c r="V3117" s="1"/>
      <c r="W3117" s="1"/>
      <c r="X3117" s="1"/>
      <c r="Y3117" s="1"/>
      <c r="Z3117" s="1"/>
    </row>
    <row r="3118" customFormat="false" ht="21.75" hidden="false" customHeight="true" outlineLevel="0" collapsed="false">
      <c r="A3118" s="4" t="n">
        <v>43505</v>
      </c>
      <c r="B3118" s="46" t="s">
        <v>1114</v>
      </c>
      <c r="C3118" s="46" t="s">
        <v>15</v>
      </c>
      <c r="D3118" s="46" t="s">
        <v>43</v>
      </c>
      <c r="E3118" s="46" t="s">
        <v>109</v>
      </c>
      <c r="F3118" s="46" t="s">
        <v>7207</v>
      </c>
      <c r="G3118" s="46" t="n">
        <f aca="false">+593983765463</f>
        <v>593983765463</v>
      </c>
      <c r="H3118" s="46" t="s">
        <v>7208</v>
      </c>
      <c r="I3118" s="46"/>
      <c r="J3118" s="1"/>
      <c r="K3118" s="1" t="s">
        <v>21</v>
      </c>
      <c r="L3118" s="1" t="s">
        <v>21</v>
      </c>
      <c r="M3118" s="1"/>
      <c r="N3118" s="1"/>
      <c r="O3118" s="1"/>
      <c r="P3118" s="6"/>
      <c r="Q3118" s="1"/>
      <c r="R3118" s="1"/>
      <c r="S3118" s="1"/>
      <c r="T3118" s="1"/>
      <c r="U3118" s="1"/>
      <c r="V3118" s="1"/>
      <c r="W3118" s="1"/>
      <c r="X3118" s="1"/>
      <c r="Y3118" s="1"/>
      <c r="Z3118" s="1"/>
    </row>
    <row r="3119" customFormat="false" ht="21.75" hidden="false" customHeight="true" outlineLevel="0" collapsed="false">
      <c r="A3119" s="4" t="n">
        <v>43505</v>
      </c>
      <c r="B3119" s="61" t="s">
        <v>48</v>
      </c>
      <c r="C3119" s="46" t="s">
        <v>15</v>
      </c>
      <c r="D3119" s="46" t="s">
        <v>43</v>
      </c>
      <c r="E3119" s="46" t="s">
        <v>44</v>
      </c>
      <c r="F3119" s="46" t="s">
        <v>7209</v>
      </c>
      <c r="G3119" s="46" t="n">
        <f aca="false">+593981684202</f>
        <v>593981684202</v>
      </c>
      <c r="H3119" s="46" t="s">
        <v>7210</v>
      </c>
      <c r="I3119" s="46"/>
      <c r="J3119" s="1"/>
      <c r="K3119" s="1" t="s">
        <v>21</v>
      </c>
      <c r="L3119" s="1" t="s">
        <v>260</v>
      </c>
      <c r="M3119" s="1"/>
      <c r="N3119" s="1"/>
      <c r="O3119" s="1"/>
      <c r="P3119" s="6"/>
      <c r="Q3119" s="1"/>
      <c r="R3119" s="1"/>
      <c r="S3119" s="1"/>
      <c r="T3119" s="1"/>
      <c r="U3119" s="1"/>
      <c r="V3119" s="1"/>
      <c r="W3119" s="1"/>
      <c r="X3119" s="1"/>
      <c r="Y3119" s="1"/>
      <c r="Z3119" s="1"/>
    </row>
    <row r="3120" customFormat="false" ht="21.75" hidden="false" customHeight="true" outlineLevel="0" collapsed="false">
      <c r="A3120" s="4" t="n">
        <v>43505</v>
      </c>
      <c r="B3120" s="61" t="s">
        <v>48</v>
      </c>
      <c r="C3120" s="46" t="s">
        <v>15</v>
      </c>
      <c r="D3120" s="46" t="s">
        <v>43</v>
      </c>
      <c r="E3120" s="46" t="s">
        <v>44</v>
      </c>
      <c r="F3120" s="46" t="s">
        <v>7211</v>
      </c>
      <c r="G3120" s="46" t="n">
        <f aca="false">+5930993799682</f>
        <v>5930993799682</v>
      </c>
      <c r="H3120" s="46" t="s">
        <v>7212</v>
      </c>
      <c r="I3120" s="46"/>
      <c r="J3120" s="1"/>
      <c r="K3120" s="1" t="s">
        <v>7213</v>
      </c>
      <c r="L3120" s="1"/>
      <c r="M3120" s="1"/>
      <c r="N3120" s="1"/>
      <c r="O3120" s="1"/>
      <c r="P3120" s="6"/>
      <c r="Q3120" s="1"/>
      <c r="R3120" s="1"/>
      <c r="S3120" s="1"/>
      <c r="T3120" s="1"/>
      <c r="U3120" s="1"/>
      <c r="V3120" s="1"/>
      <c r="W3120" s="1"/>
      <c r="X3120" s="1"/>
      <c r="Y3120" s="1"/>
      <c r="Z3120" s="1"/>
    </row>
    <row r="3121" customFormat="false" ht="21.75" hidden="false" customHeight="true" outlineLevel="0" collapsed="false">
      <c r="A3121" s="4" t="n">
        <v>43505</v>
      </c>
      <c r="B3121" s="61" t="s">
        <v>48</v>
      </c>
      <c r="C3121" s="46" t="s">
        <v>26</v>
      </c>
      <c r="D3121" s="46" t="s">
        <v>43</v>
      </c>
      <c r="E3121" s="46" t="s">
        <v>44</v>
      </c>
      <c r="F3121" s="46" t="s">
        <v>2805</v>
      </c>
      <c r="G3121" s="46" t="n">
        <f aca="false">+593999327308</f>
        <v>593999327308</v>
      </c>
      <c r="H3121" s="46" t="s">
        <v>7214</v>
      </c>
      <c r="I3121" s="46"/>
      <c r="J3121" s="1"/>
      <c r="K3121" s="1" t="s">
        <v>6430</v>
      </c>
      <c r="L3121" s="1"/>
      <c r="M3121" s="1"/>
      <c r="N3121" s="1"/>
      <c r="O3121" s="1"/>
      <c r="P3121" s="6"/>
      <c r="Q3121" s="1"/>
      <c r="R3121" s="1"/>
      <c r="S3121" s="1"/>
      <c r="T3121" s="1"/>
      <c r="U3121" s="1"/>
      <c r="V3121" s="1"/>
      <c r="W3121" s="1"/>
      <c r="X3121" s="1"/>
      <c r="Y3121" s="1"/>
      <c r="Z3121" s="1"/>
    </row>
    <row r="3122" customFormat="false" ht="21.75" hidden="false" customHeight="true" outlineLevel="0" collapsed="false">
      <c r="A3122" s="4" t="n">
        <v>43505</v>
      </c>
      <c r="B3122" s="61" t="s">
        <v>48</v>
      </c>
      <c r="C3122" s="46" t="s">
        <v>15</v>
      </c>
      <c r="D3122" s="46" t="s">
        <v>43</v>
      </c>
      <c r="E3122" s="46" t="s">
        <v>44</v>
      </c>
      <c r="F3122" s="46" t="s">
        <v>7215</v>
      </c>
      <c r="G3122" s="46" t="n">
        <f aca="false">+5930987481527</f>
        <v>5930987481527</v>
      </c>
      <c r="H3122" s="46" t="s">
        <v>7216</v>
      </c>
      <c r="I3122" s="46"/>
      <c r="J3122" s="1"/>
      <c r="K3122" s="1" t="s">
        <v>5994</v>
      </c>
      <c r="L3122" s="1"/>
      <c r="M3122" s="1"/>
      <c r="N3122" s="1"/>
      <c r="O3122" s="1"/>
      <c r="P3122" s="6"/>
      <c r="Q3122" s="1"/>
      <c r="R3122" s="1"/>
      <c r="S3122" s="1"/>
      <c r="T3122" s="1"/>
      <c r="U3122" s="1"/>
      <c r="V3122" s="1"/>
      <c r="W3122" s="1"/>
      <c r="X3122" s="1"/>
      <c r="Y3122" s="1"/>
      <c r="Z3122" s="1"/>
    </row>
    <row r="3123" customFormat="false" ht="21.75" hidden="false" customHeight="true" outlineLevel="0" collapsed="false">
      <c r="A3123" s="4" t="n">
        <v>43505</v>
      </c>
      <c r="B3123" s="61" t="s">
        <v>48</v>
      </c>
      <c r="C3123" s="46" t="s">
        <v>15</v>
      </c>
      <c r="D3123" s="46" t="s">
        <v>43</v>
      </c>
      <c r="E3123" s="46" t="s">
        <v>44</v>
      </c>
      <c r="F3123" s="46" t="s">
        <v>6413</v>
      </c>
      <c r="G3123" s="46" t="n">
        <f aca="false">+593959004714</f>
        <v>593959004714</v>
      </c>
      <c r="H3123" s="46" t="s">
        <v>6414</v>
      </c>
      <c r="I3123" s="46"/>
      <c r="J3123" s="1"/>
      <c r="K3123" s="1" t="s">
        <v>3957</v>
      </c>
      <c r="L3123" s="1"/>
      <c r="M3123" s="1"/>
      <c r="N3123" s="1"/>
      <c r="O3123" s="1"/>
      <c r="P3123" s="6"/>
      <c r="Q3123" s="1"/>
      <c r="R3123" s="1"/>
      <c r="S3123" s="1"/>
      <c r="T3123" s="1"/>
      <c r="U3123" s="1"/>
      <c r="V3123" s="1"/>
      <c r="W3123" s="1"/>
      <c r="X3123" s="1"/>
      <c r="Y3123" s="1"/>
      <c r="Z3123" s="1"/>
    </row>
    <row r="3124" customFormat="false" ht="21.75" hidden="false" customHeight="true" outlineLevel="0" collapsed="false">
      <c r="A3124" s="4" t="n">
        <v>43505</v>
      </c>
      <c r="B3124" s="61" t="s">
        <v>48</v>
      </c>
      <c r="C3124" s="46" t="s">
        <v>15</v>
      </c>
      <c r="D3124" s="46" t="s">
        <v>43</v>
      </c>
      <c r="E3124" s="46" t="s">
        <v>44</v>
      </c>
      <c r="F3124" s="46" t="s">
        <v>7217</v>
      </c>
      <c r="G3124" s="46" t="n">
        <f aca="false">+5930994382854</f>
        <v>5930994382854</v>
      </c>
      <c r="H3124" s="46" t="s">
        <v>7218</v>
      </c>
      <c r="I3124" s="46"/>
      <c r="J3124" s="1"/>
      <c r="K3124" s="1" t="s">
        <v>5563</v>
      </c>
      <c r="L3124" s="1"/>
      <c r="M3124" s="1"/>
      <c r="N3124" s="1"/>
      <c r="O3124" s="1"/>
      <c r="P3124" s="6"/>
      <c r="Q3124" s="1"/>
      <c r="R3124" s="1"/>
      <c r="S3124" s="1"/>
      <c r="T3124" s="1"/>
      <c r="U3124" s="1"/>
      <c r="V3124" s="1"/>
      <c r="W3124" s="1"/>
      <c r="X3124" s="1"/>
      <c r="Y3124" s="1"/>
      <c r="Z3124" s="1"/>
    </row>
    <row r="3125" customFormat="false" ht="21.75" hidden="false" customHeight="true" outlineLevel="0" collapsed="false">
      <c r="A3125" s="4" t="n">
        <v>43505</v>
      </c>
      <c r="B3125" s="61" t="s">
        <v>48</v>
      </c>
      <c r="C3125" s="46" t="s">
        <v>15</v>
      </c>
      <c r="D3125" s="46" t="s">
        <v>43</v>
      </c>
      <c r="E3125" s="46" t="s">
        <v>44</v>
      </c>
      <c r="F3125" s="46" t="s">
        <v>7219</v>
      </c>
      <c r="G3125" s="46" t="n">
        <f aca="false">+593996393338</f>
        <v>593996393338</v>
      </c>
      <c r="H3125" s="46" t="s">
        <v>7220</v>
      </c>
      <c r="I3125" s="46"/>
      <c r="J3125" s="1"/>
      <c r="K3125" s="1" t="s">
        <v>21</v>
      </c>
      <c r="L3125" s="1" t="s">
        <v>21</v>
      </c>
      <c r="M3125" s="1"/>
      <c r="N3125" s="1"/>
      <c r="O3125" s="1"/>
      <c r="P3125" s="6"/>
      <c r="Q3125" s="1"/>
      <c r="R3125" s="1"/>
      <c r="S3125" s="1"/>
      <c r="T3125" s="1"/>
      <c r="U3125" s="1"/>
      <c r="V3125" s="1"/>
      <c r="W3125" s="1"/>
      <c r="X3125" s="1"/>
      <c r="Y3125" s="1"/>
      <c r="Z3125" s="1"/>
    </row>
    <row r="3126" customFormat="false" ht="21.75" hidden="false" customHeight="true" outlineLevel="0" collapsed="false">
      <c r="A3126" s="4" t="n">
        <v>43505</v>
      </c>
      <c r="B3126" s="61" t="s">
        <v>48</v>
      </c>
      <c r="C3126" s="46" t="s">
        <v>15</v>
      </c>
      <c r="D3126" s="46" t="s">
        <v>43</v>
      </c>
      <c r="E3126" s="46" t="s">
        <v>44</v>
      </c>
      <c r="F3126" s="46" t="s">
        <v>7221</v>
      </c>
      <c r="G3126" s="46" t="n">
        <f aca="false">+593959659233</f>
        <v>593959659233</v>
      </c>
      <c r="H3126" s="46" t="s">
        <v>7222</v>
      </c>
      <c r="I3126" s="46"/>
      <c r="J3126" s="1"/>
      <c r="K3126" s="1" t="s">
        <v>7223</v>
      </c>
      <c r="L3126" s="1"/>
      <c r="M3126" s="1"/>
      <c r="N3126" s="1"/>
      <c r="O3126" s="1"/>
      <c r="P3126" s="6"/>
      <c r="Q3126" s="1"/>
      <c r="R3126" s="1"/>
      <c r="S3126" s="1"/>
      <c r="T3126" s="1"/>
      <c r="U3126" s="1"/>
      <c r="V3126" s="1"/>
      <c r="W3126" s="1"/>
      <c r="X3126" s="1"/>
      <c r="Y3126" s="1"/>
      <c r="Z3126" s="1"/>
    </row>
    <row r="3127" customFormat="false" ht="21.75" hidden="false" customHeight="true" outlineLevel="0" collapsed="false">
      <c r="A3127" s="4" t="n">
        <v>43505</v>
      </c>
      <c r="B3127" s="61" t="s">
        <v>48</v>
      </c>
      <c r="C3127" s="46" t="s">
        <v>15</v>
      </c>
      <c r="D3127" s="46" t="s">
        <v>43</v>
      </c>
      <c r="E3127" s="46" t="s">
        <v>44</v>
      </c>
      <c r="F3127" s="46" t="s">
        <v>7224</v>
      </c>
      <c r="G3127" s="46" t="n">
        <f aca="false">+593997863027</f>
        <v>593997863027</v>
      </c>
      <c r="H3127" s="46" t="s">
        <v>7225</v>
      </c>
      <c r="I3127" s="46"/>
      <c r="J3127" s="1"/>
      <c r="K3127" s="1" t="s">
        <v>7226</v>
      </c>
      <c r="L3127" s="1"/>
      <c r="M3127" s="1"/>
      <c r="N3127" s="1"/>
      <c r="O3127" s="1"/>
      <c r="P3127" s="6"/>
      <c r="Q3127" s="1"/>
      <c r="R3127" s="1"/>
      <c r="S3127" s="1"/>
      <c r="T3127" s="1"/>
      <c r="U3127" s="1"/>
      <c r="V3127" s="1"/>
      <c r="W3127" s="1"/>
      <c r="X3127" s="1"/>
      <c r="Y3127" s="1"/>
      <c r="Z3127" s="1"/>
    </row>
    <row r="3128" customFormat="false" ht="21.75" hidden="false" customHeight="true" outlineLevel="0" collapsed="false">
      <c r="A3128" s="4" t="n">
        <v>43505</v>
      </c>
      <c r="B3128" s="61" t="s">
        <v>48</v>
      </c>
      <c r="C3128" s="46" t="s">
        <v>15</v>
      </c>
      <c r="D3128" s="46" t="s">
        <v>43</v>
      </c>
      <c r="E3128" s="46" t="s">
        <v>44</v>
      </c>
      <c r="F3128" s="46" t="s">
        <v>7227</v>
      </c>
      <c r="G3128" s="46" t="n">
        <f aca="false">+593994906797</f>
        <v>593994906797</v>
      </c>
      <c r="H3128" s="46" t="s">
        <v>7228</v>
      </c>
      <c r="I3128" s="46"/>
      <c r="J3128" s="1"/>
      <c r="K3128" s="1" t="s">
        <v>7229</v>
      </c>
      <c r="L3128" s="1"/>
      <c r="M3128" s="1"/>
      <c r="N3128" s="1"/>
      <c r="O3128" s="1"/>
      <c r="P3128" s="6"/>
      <c r="Q3128" s="1"/>
      <c r="R3128" s="1"/>
      <c r="S3128" s="1"/>
      <c r="T3128" s="1"/>
      <c r="U3128" s="1"/>
      <c r="V3128" s="1"/>
      <c r="W3128" s="1"/>
      <c r="X3128" s="1"/>
      <c r="Y3128" s="1"/>
      <c r="Z3128" s="1"/>
    </row>
    <row r="3129" customFormat="false" ht="21.75" hidden="false" customHeight="true" outlineLevel="0" collapsed="false">
      <c r="A3129" s="4" t="n">
        <v>43505</v>
      </c>
      <c r="B3129" s="61" t="s">
        <v>48</v>
      </c>
      <c r="C3129" s="46" t="s">
        <v>15</v>
      </c>
      <c r="D3129" s="46" t="s">
        <v>43</v>
      </c>
      <c r="E3129" s="46" t="s">
        <v>44</v>
      </c>
      <c r="F3129" s="46" t="s">
        <v>7230</v>
      </c>
      <c r="G3129" s="46" t="n">
        <f aca="false">+593999049820</f>
        <v>593999049820</v>
      </c>
      <c r="H3129" s="46" t="s">
        <v>7231</v>
      </c>
      <c r="I3129" s="46"/>
      <c r="J3129" s="1"/>
      <c r="K3129" s="1" t="s">
        <v>21</v>
      </c>
      <c r="L3129" s="1" t="s">
        <v>21</v>
      </c>
      <c r="M3129" s="1"/>
      <c r="N3129" s="1"/>
      <c r="O3129" s="1"/>
      <c r="P3129" s="6"/>
      <c r="Q3129" s="1"/>
      <c r="R3129" s="1"/>
      <c r="S3129" s="1"/>
      <c r="T3129" s="1"/>
      <c r="U3129" s="1"/>
      <c r="V3129" s="1"/>
      <c r="W3129" s="1"/>
      <c r="X3129" s="1"/>
      <c r="Y3129" s="1"/>
      <c r="Z3129" s="1"/>
    </row>
    <row r="3130" customFormat="false" ht="21.75" hidden="false" customHeight="true" outlineLevel="0" collapsed="false">
      <c r="A3130" s="4" t="n">
        <v>43505</v>
      </c>
      <c r="B3130" s="61" t="s">
        <v>48</v>
      </c>
      <c r="C3130" s="46" t="s">
        <v>15</v>
      </c>
      <c r="D3130" s="46" t="s">
        <v>43</v>
      </c>
      <c r="E3130" s="46" t="s">
        <v>44</v>
      </c>
      <c r="F3130" s="46" t="s">
        <v>7232</v>
      </c>
      <c r="G3130" s="46" t="n">
        <f aca="false">+593959762372</f>
        <v>593959762372</v>
      </c>
      <c r="H3130" s="46" t="s">
        <v>7233</v>
      </c>
      <c r="I3130" s="46"/>
      <c r="J3130" s="1"/>
      <c r="K3130" s="1" t="s">
        <v>21</v>
      </c>
      <c r="L3130" s="1" t="s">
        <v>21</v>
      </c>
      <c r="M3130" s="1"/>
      <c r="N3130" s="1"/>
      <c r="O3130" s="1"/>
      <c r="P3130" s="6"/>
      <c r="Q3130" s="1"/>
      <c r="R3130" s="1"/>
      <c r="S3130" s="1"/>
      <c r="T3130" s="1"/>
      <c r="U3130" s="1"/>
      <c r="V3130" s="1"/>
      <c r="W3130" s="1"/>
      <c r="X3130" s="1"/>
      <c r="Y3130" s="1"/>
      <c r="Z3130" s="1"/>
    </row>
    <row r="3131" customFormat="false" ht="21.75" hidden="false" customHeight="true" outlineLevel="0" collapsed="false">
      <c r="A3131" s="4" t="n">
        <v>43505</v>
      </c>
      <c r="B3131" s="61" t="s">
        <v>48</v>
      </c>
      <c r="C3131" s="46" t="s">
        <v>15</v>
      </c>
      <c r="D3131" s="46" t="s">
        <v>43</v>
      </c>
      <c r="E3131" s="46" t="s">
        <v>44</v>
      </c>
      <c r="F3131" s="46" t="s">
        <v>7234</v>
      </c>
      <c r="G3131" s="46" t="n">
        <f aca="false">+5930967401590</f>
        <v>5930967401590</v>
      </c>
      <c r="H3131" s="46" t="s">
        <v>7235</v>
      </c>
      <c r="I3131" s="46"/>
      <c r="J3131" s="1"/>
      <c r="K3131" s="1" t="s">
        <v>21</v>
      </c>
      <c r="L3131" s="1" t="s">
        <v>21</v>
      </c>
      <c r="M3131" s="1"/>
      <c r="N3131" s="1"/>
      <c r="O3131" s="1"/>
      <c r="P3131" s="6"/>
      <c r="Q3131" s="1"/>
      <c r="R3131" s="1"/>
      <c r="S3131" s="1"/>
      <c r="T3131" s="1"/>
      <c r="U3131" s="1"/>
      <c r="V3131" s="1"/>
      <c r="W3131" s="1"/>
      <c r="X3131" s="1"/>
      <c r="Y3131" s="1"/>
      <c r="Z3131" s="1"/>
    </row>
    <row r="3132" customFormat="false" ht="21.75" hidden="false" customHeight="true" outlineLevel="0" collapsed="false">
      <c r="A3132" s="4" t="n">
        <v>43505</v>
      </c>
      <c r="B3132" s="61" t="s">
        <v>127</v>
      </c>
      <c r="C3132" s="46" t="s">
        <v>26</v>
      </c>
      <c r="D3132" s="46" t="s">
        <v>43</v>
      </c>
      <c r="E3132" s="46" t="s">
        <v>44</v>
      </c>
      <c r="F3132" s="46" t="s">
        <v>7236</v>
      </c>
      <c r="G3132" s="46" t="n">
        <f aca="false">+12038984785</f>
        <v>12038984785</v>
      </c>
      <c r="H3132" s="46" t="s">
        <v>7237</v>
      </c>
      <c r="I3132" s="46"/>
      <c r="J3132" s="1"/>
      <c r="K3132" s="1" t="s">
        <v>1962</v>
      </c>
      <c r="L3132" s="1"/>
      <c r="M3132" s="1"/>
      <c r="N3132" s="1"/>
      <c r="O3132" s="1"/>
      <c r="P3132" s="6"/>
      <c r="Q3132" s="1"/>
      <c r="R3132" s="1"/>
      <c r="S3132" s="1"/>
      <c r="T3132" s="1"/>
      <c r="U3132" s="1"/>
      <c r="V3132" s="1"/>
      <c r="W3132" s="1"/>
      <c r="X3132" s="1"/>
      <c r="Y3132" s="1"/>
      <c r="Z3132" s="1"/>
    </row>
    <row r="3133" customFormat="false" ht="21.75" hidden="false" customHeight="true" outlineLevel="0" collapsed="false">
      <c r="A3133" s="4" t="n">
        <v>43505</v>
      </c>
      <c r="B3133" s="61" t="s">
        <v>127</v>
      </c>
      <c r="C3133" s="46" t="s">
        <v>15</v>
      </c>
      <c r="D3133" s="46" t="s">
        <v>43</v>
      </c>
      <c r="E3133" s="46" t="s">
        <v>44</v>
      </c>
      <c r="F3133" s="46" t="s">
        <v>7238</v>
      </c>
      <c r="G3133" s="46" t="n">
        <f aca="false">+593999913690</f>
        <v>593999913690</v>
      </c>
      <c r="H3133" s="46" t="s">
        <v>7239</v>
      </c>
      <c r="I3133" s="46"/>
      <c r="J3133" s="1"/>
      <c r="K3133" s="1" t="s">
        <v>1065</v>
      </c>
      <c r="L3133" s="1"/>
      <c r="M3133" s="1"/>
      <c r="N3133" s="1"/>
      <c r="O3133" s="1"/>
      <c r="P3133" s="6"/>
      <c r="Q3133" s="1"/>
      <c r="R3133" s="1"/>
      <c r="S3133" s="1"/>
      <c r="T3133" s="1"/>
      <c r="U3133" s="1"/>
      <c r="V3133" s="1"/>
      <c r="W3133" s="1"/>
      <c r="X3133" s="1"/>
      <c r="Y3133" s="1"/>
      <c r="Z3133" s="1"/>
    </row>
    <row r="3134" customFormat="false" ht="21.75" hidden="false" customHeight="true" outlineLevel="0" collapsed="false">
      <c r="A3134" s="4" t="n">
        <v>43505</v>
      </c>
      <c r="B3134" s="61" t="s">
        <v>178</v>
      </c>
      <c r="C3134" s="46" t="s">
        <v>15</v>
      </c>
      <c r="D3134" s="46" t="s">
        <v>43</v>
      </c>
      <c r="E3134" s="46" t="s">
        <v>44</v>
      </c>
      <c r="F3134" s="46" t="s">
        <v>7240</v>
      </c>
      <c r="G3134" s="46" t="n">
        <f aca="false">+5930983853593</f>
        <v>5930983853593</v>
      </c>
      <c r="H3134" s="46" t="s">
        <v>7241</v>
      </c>
      <c r="I3134" s="46"/>
      <c r="J3134" s="1"/>
      <c r="K3134" s="1" t="s">
        <v>7242</v>
      </c>
      <c r="L3134" s="1"/>
      <c r="M3134" s="1"/>
      <c r="N3134" s="1"/>
      <c r="O3134" s="1"/>
      <c r="P3134" s="6"/>
      <c r="Q3134" s="1"/>
      <c r="R3134" s="1"/>
      <c r="S3134" s="1"/>
      <c r="T3134" s="1"/>
      <c r="U3134" s="1"/>
      <c r="V3134" s="1"/>
      <c r="W3134" s="1"/>
      <c r="X3134" s="1"/>
      <c r="Y3134" s="1"/>
      <c r="Z3134" s="1"/>
    </row>
    <row r="3135" customFormat="false" ht="21.75" hidden="false" customHeight="true" outlineLevel="0" collapsed="false">
      <c r="A3135" s="4" t="n">
        <v>43505</v>
      </c>
      <c r="B3135" s="61" t="s">
        <v>81</v>
      </c>
      <c r="C3135" s="46" t="s">
        <v>15</v>
      </c>
      <c r="D3135" s="46" t="s">
        <v>43</v>
      </c>
      <c r="E3135" s="46" t="s">
        <v>44</v>
      </c>
      <c r="F3135" s="46" t="s">
        <v>7243</v>
      </c>
      <c r="G3135" s="46" t="n">
        <f aca="false">+5930990955660</f>
        <v>5930990955660</v>
      </c>
      <c r="H3135" s="46" t="s">
        <v>7244</v>
      </c>
      <c r="I3135" s="46"/>
      <c r="J3135" s="1"/>
      <c r="K3135" s="1" t="s">
        <v>21</v>
      </c>
      <c r="L3135" s="1" t="s">
        <v>21</v>
      </c>
      <c r="M3135" s="1"/>
      <c r="N3135" s="1"/>
      <c r="O3135" s="1"/>
      <c r="P3135" s="6"/>
      <c r="Q3135" s="1"/>
      <c r="R3135" s="1"/>
      <c r="S3135" s="1"/>
      <c r="T3135" s="1"/>
      <c r="U3135" s="1"/>
      <c r="V3135" s="1"/>
      <c r="W3135" s="1"/>
      <c r="X3135" s="1"/>
      <c r="Y3135" s="1"/>
      <c r="Z3135" s="1"/>
    </row>
    <row r="3136" customFormat="false" ht="21.75" hidden="false" customHeight="true" outlineLevel="0" collapsed="false">
      <c r="A3136" s="4" t="n">
        <v>43505</v>
      </c>
      <c r="B3136" s="61" t="s">
        <v>81</v>
      </c>
      <c r="C3136" s="46" t="s">
        <v>15</v>
      </c>
      <c r="D3136" s="46" t="s">
        <v>43</v>
      </c>
      <c r="E3136" s="46" t="s">
        <v>44</v>
      </c>
      <c r="F3136" s="46" t="s">
        <v>7245</v>
      </c>
      <c r="G3136" s="46" t="n">
        <f aca="false">+5930969917026</f>
        <v>5930969917026</v>
      </c>
      <c r="H3136" s="46" t="s">
        <v>7246</v>
      </c>
      <c r="I3136" s="46"/>
      <c r="J3136" s="1"/>
      <c r="K3136" s="1" t="s">
        <v>21</v>
      </c>
      <c r="L3136" s="1" t="s">
        <v>165</v>
      </c>
      <c r="M3136" s="1"/>
      <c r="N3136" s="1"/>
      <c r="O3136" s="1"/>
      <c r="P3136" s="6"/>
      <c r="Q3136" s="1"/>
      <c r="R3136" s="1"/>
      <c r="S3136" s="1"/>
      <c r="T3136" s="1"/>
      <c r="U3136" s="1"/>
      <c r="V3136" s="1"/>
      <c r="W3136" s="1"/>
      <c r="X3136" s="1"/>
      <c r="Y3136" s="1"/>
      <c r="Z3136" s="1"/>
    </row>
    <row r="3137" customFormat="false" ht="21.75" hidden="false" customHeight="true" outlineLevel="0" collapsed="false">
      <c r="A3137" s="4" t="n">
        <v>43505</v>
      </c>
      <c r="B3137" s="61" t="s">
        <v>48</v>
      </c>
      <c r="C3137" s="46" t="s">
        <v>15</v>
      </c>
      <c r="D3137" s="46" t="s">
        <v>43</v>
      </c>
      <c r="E3137" s="46" t="s">
        <v>109</v>
      </c>
      <c r="F3137" s="50" t="s">
        <v>7247</v>
      </c>
      <c r="G3137" s="51" t="n">
        <v>959729026</v>
      </c>
      <c r="H3137" s="52" t="s">
        <v>7248</v>
      </c>
      <c r="I3137" s="52"/>
      <c r="J3137" s="1"/>
      <c r="K3137" s="1" t="s">
        <v>7249</v>
      </c>
      <c r="L3137" s="1"/>
      <c r="M3137" s="1"/>
      <c r="N3137" s="1"/>
      <c r="O3137" s="1"/>
      <c r="P3137" s="6"/>
      <c r="Q3137" s="1"/>
      <c r="R3137" s="1"/>
      <c r="S3137" s="1"/>
      <c r="T3137" s="1"/>
      <c r="U3137" s="1"/>
      <c r="V3137" s="1"/>
      <c r="W3137" s="1"/>
      <c r="X3137" s="1"/>
      <c r="Y3137" s="1"/>
      <c r="Z3137" s="1"/>
    </row>
    <row r="3138" customFormat="false" ht="21.75" hidden="false" customHeight="true" outlineLevel="0" collapsed="false">
      <c r="A3138" s="4" t="n">
        <v>43505</v>
      </c>
      <c r="B3138" s="61" t="s">
        <v>14</v>
      </c>
      <c r="C3138" s="46" t="s">
        <v>15</v>
      </c>
      <c r="D3138" s="46" t="s">
        <v>16</v>
      </c>
      <c r="E3138" s="46" t="s">
        <v>17</v>
      </c>
      <c r="F3138" s="50" t="s">
        <v>7250</v>
      </c>
      <c r="G3138" s="51" t="n">
        <v>988036337</v>
      </c>
      <c r="H3138" s="52" t="s">
        <v>7251</v>
      </c>
      <c r="I3138" s="52"/>
      <c r="J3138" s="1"/>
      <c r="K3138" s="1" t="s">
        <v>7252</v>
      </c>
      <c r="L3138" s="1"/>
      <c r="M3138" s="1"/>
      <c r="N3138" s="1"/>
      <c r="O3138" s="1"/>
      <c r="P3138" s="6"/>
      <c r="Q3138" s="1"/>
      <c r="R3138" s="1"/>
      <c r="S3138" s="1"/>
      <c r="T3138" s="1"/>
      <c r="U3138" s="1"/>
      <c r="V3138" s="1"/>
      <c r="W3138" s="1"/>
      <c r="X3138" s="1"/>
      <c r="Y3138" s="1"/>
      <c r="Z3138" s="1"/>
    </row>
    <row r="3139" customFormat="false" ht="21.75" hidden="false" customHeight="true" outlineLevel="0" collapsed="false">
      <c r="A3139" s="4" t="n">
        <v>43505</v>
      </c>
      <c r="B3139" s="61" t="s">
        <v>166</v>
      </c>
      <c r="C3139" s="46" t="s">
        <v>15</v>
      </c>
      <c r="D3139" s="46" t="s">
        <v>16</v>
      </c>
      <c r="E3139" s="46" t="s">
        <v>17</v>
      </c>
      <c r="F3139" s="50" t="s">
        <v>7253</v>
      </c>
      <c r="G3139" s="51" t="n">
        <v>959969569</v>
      </c>
      <c r="H3139" s="52" t="s">
        <v>7254</v>
      </c>
      <c r="I3139" s="52"/>
      <c r="J3139" s="1"/>
      <c r="K3139" s="1" t="s">
        <v>7255</v>
      </c>
      <c r="L3139" s="1"/>
      <c r="M3139" s="1"/>
      <c r="N3139" s="1"/>
      <c r="O3139" s="1"/>
      <c r="P3139" s="6"/>
      <c r="Q3139" s="1"/>
      <c r="R3139" s="1"/>
      <c r="S3139" s="1"/>
      <c r="T3139" s="1"/>
      <c r="U3139" s="1"/>
      <c r="V3139" s="1"/>
      <c r="W3139" s="1"/>
      <c r="X3139" s="1"/>
      <c r="Y3139" s="1"/>
      <c r="Z3139" s="1"/>
    </row>
    <row r="3140" customFormat="false" ht="21.75" hidden="false" customHeight="true" outlineLevel="0" collapsed="false">
      <c r="A3140" s="4" t="n">
        <v>43505</v>
      </c>
      <c r="B3140" s="61" t="s">
        <v>48</v>
      </c>
      <c r="C3140" s="46" t="s">
        <v>15</v>
      </c>
      <c r="D3140" s="46" t="s">
        <v>43</v>
      </c>
      <c r="E3140" s="46" t="s">
        <v>109</v>
      </c>
      <c r="F3140" s="50" t="s">
        <v>7102</v>
      </c>
      <c r="G3140" s="51" t="n">
        <v>961451615</v>
      </c>
      <c r="H3140" s="52" t="s">
        <v>7256</v>
      </c>
      <c r="I3140" s="52"/>
      <c r="J3140" s="1"/>
      <c r="K3140" s="1" t="s">
        <v>21</v>
      </c>
      <c r="L3140" s="1" t="s">
        <v>7257</v>
      </c>
      <c r="M3140" s="1" t="s">
        <v>1156</v>
      </c>
      <c r="N3140" s="1"/>
      <c r="O3140" s="1"/>
      <c r="P3140" s="6"/>
      <c r="Q3140" s="1"/>
      <c r="R3140" s="1"/>
      <c r="S3140" s="1"/>
      <c r="T3140" s="1"/>
      <c r="U3140" s="1"/>
      <c r="V3140" s="1"/>
      <c r="W3140" s="1"/>
      <c r="X3140" s="1"/>
      <c r="Y3140" s="1"/>
      <c r="Z3140" s="1"/>
    </row>
    <row r="3141" customFormat="false" ht="21.75" hidden="false" customHeight="true" outlineLevel="0" collapsed="false">
      <c r="A3141" s="4" t="n">
        <v>43507</v>
      </c>
      <c r="B3141" s="46" t="s">
        <v>48</v>
      </c>
      <c r="C3141" s="46" t="s">
        <v>15</v>
      </c>
      <c r="D3141" s="46" t="s">
        <v>43</v>
      </c>
      <c r="E3141" s="46" t="s">
        <v>109</v>
      </c>
      <c r="F3141" s="46" t="s">
        <v>7258</v>
      </c>
      <c r="G3141" s="46" t="n">
        <f aca="false">+593982215188</f>
        <v>593982215188</v>
      </c>
      <c r="H3141" s="46" t="s">
        <v>7259</v>
      </c>
      <c r="I3141" s="46"/>
      <c r="J3141" s="1"/>
      <c r="K3141" s="1" t="s">
        <v>1156</v>
      </c>
      <c r="L3141" s="1" t="s">
        <v>21</v>
      </c>
      <c r="M3141" s="1"/>
      <c r="N3141" s="1"/>
      <c r="O3141" s="1"/>
      <c r="P3141" s="6"/>
      <c r="Q3141" s="1"/>
      <c r="R3141" s="1"/>
      <c r="S3141" s="1"/>
      <c r="T3141" s="1"/>
      <c r="U3141" s="1"/>
      <c r="V3141" s="1"/>
      <c r="W3141" s="1"/>
      <c r="X3141" s="1"/>
      <c r="Y3141" s="1"/>
      <c r="Z3141" s="1"/>
    </row>
    <row r="3142" customFormat="false" ht="21.75" hidden="false" customHeight="true" outlineLevel="0" collapsed="false">
      <c r="A3142" s="4" t="n">
        <v>43507</v>
      </c>
      <c r="B3142" s="46" t="s">
        <v>532</v>
      </c>
      <c r="C3142" s="46" t="s">
        <v>15</v>
      </c>
      <c r="D3142" s="46" t="s">
        <v>43</v>
      </c>
      <c r="E3142" s="46" t="s">
        <v>109</v>
      </c>
      <c r="F3142" s="46" t="s">
        <v>7260</v>
      </c>
      <c r="G3142" s="46" t="n">
        <f aca="false">+593999385956</f>
        <v>593999385956</v>
      </c>
      <c r="H3142" s="46" t="s">
        <v>7261</v>
      </c>
      <c r="I3142" s="46"/>
      <c r="J3142" s="1"/>
      <c r="K3142" s="1" t="s">
        <v>1156</v>
      </c>
      <c r="L3142" s="1" t="s">
        <v>21</v>
      </c>
      <c r="M3142" s="1"/>
      <c r="N3142" s="1"/>
      <c r="O3142" s="1"/>
      <c r="P3142" s="6"/>
      <c r="Q3142" s="1"/>
      <c r="R3142" s="1"/>
      <c r="S3142" s="1"/>
      <c r="T3142" s="1"/>
      <c r="U3142" s="1"/>
      <c r="V3142" s="1"/>
      <c r="W3142" s="1"/>
      <c r="X3142" s="1"/>
      <c r="Y3142" s="1"/>
      <c r="Z3142" s="1"/>
    </row>
    <row r="3143" customFormat="false" ht="21.75" hidden="false" customHeight="true" outlineLevel="0" collapsed="false">
      <c r="A3143" s="4" t="n">
        <v>43507</v>
      </c>
      <c r="B3143" s="46" t="s">
        <v>42</v>
      </c>
      <c r="C3143" s="46" t="s">
        <v>15</v>
      </c>
      <c r="D3143" s="46" t="s">
        <v>43</v>
      </c>
      <c r="E3143" s="46" t="s">
        <v>109</v>
      </c>
      <c r="F3143" s="46" t="s">
        <v>7262</v>
      </c>
      <c r="G3143" s="46" t="n">
        <f aca="false">+593990283964</f>
        <v>593990283964</v>
      </c>
      <c r="H3143" s="46" t="s">
        <v>7263</v>
      </c>
      <c r="I3143" s="46"/>
      <c r="J3143" s="1"/>
      <c r="K3143" s="1" t="s">
        <v>1156</v>
      </c>
      <c r="L3143" s="1" t="s">
        <v>7264</v>
      </c>
      <c r="M3143" s="1"/>
      <c r="N3143" s="1"/>
      <c r="O3143" s="1"/>
      <c r="P3143" s="6"/>
      <c r="Q3143" s="1"/>
      <c r="R3143" s="1"/>
      <c r="S3143" s="1"/>
      <c r="T3143" s="1"/>
      <c r="U3143" s="1"/>
      <c r="V3143" s="1"/>
      <c r="W3143" s="1"/>
      <c r="X3143" s="1"/>
      <c r="Y3143" s="1"/>
      <c r="Z3143" s="1"/>
    </row>
    <row r="3144" customFormat="false" ht="21.75" hidden="false" customHeight="true" outlineLevel="0" collapsed="false">
      <c r="A3144" s="4" t="n">
        <v>43507</v>
      </c>
      <c r="B3144" s="46" t="s">
        <v>352</v>
      </c>
      <c r="C3144" s="46" t="s">
        <v>15</v>
      </c>
      <c r="D3144" s="46" t="s">
        <v>43</v>
      </c>
      <c r="E3144" s="46" t="s">
        <v>109</v>
      </c>
      <c r="F3144" s="46" t="s">
        <v>7265</v>
      </c>
      <c r="G3144" s="46" t="n">
        <f aca="false">+593999670316</f>
        <v>593999670316</v>
      </c>
      <c r="H3144" s="46" t="s">
        <v>7266</v>
      </c>
      <c r="I3144" s="46"/>
      <c r="J3144" s="1"/>
      <c r="K3144" s="1" t="s">
        <v>7267</v>
      </c>
      <c r="L3144" s="1"/>
      <c r="M3144" s="1"/>
      <c r="N3144" s="1"/>
      <c r="O3144" s="1"/>
      <c r="P3144" s="6"/>
      <c r="Q3144" s="1"/>
      <c r="R3144" s="1"/>
      <c r="S3144" s="1"/>
      <c r="T3144" s="1"/>
      <c r="U3144" s="1"/>
      <c r="V3144" s="1"/>
      <c r="W3144" s="1"/>
      <c r="X3144" s="1"/>
      <c r="Y3144" s="1"/>
      <c r="Z3144" s="1"/>
    </row>
    <row r="3145" customFormat="false" ht="21.75" hidden="false" customHeight="true" outlineLevel="0" collapsed="false">
      <c r="A3145" s="4" t="n">
        <v>43507</v>
      </c>
      <c r="B3145" s="46" t="s">
        <v>48</v>
      </c>
      <c r="C3145" s="46" t="s">
        <v>26</v>
      </c>
      <c r="D3145" s="46" t="s">
        <v>43</v>
      </c>
      <c r="E3145" s="46" t="s">
        <v>109</v>
      </c>
      <c r="F3145" s="46" t="s">
        <v>7268</v>
      </c>
      <c r="G3145" s="57" t="n">
        <v>984163390</v>
      </c>
      <c r="H3145" s="46" t="s">
        <v>7269</v>
      </c>
      <c r="I3145" s="46"/>
      <c r="J3145" s="1"/>
      <c r="K3145" s="1" t="s">
        <v>7270</v>
      </c>
      <c r="L3145" s="1"/>
      <c r="M3145" s="1"/>
      <c r="N3145" s="1"/>
      <c r="O3145" s="1"/>
      <c r="P3145" s="6"/>
      <c r="Q3145" s="1"/>
      <c r="R3145" s="1"/>
      <c r="S3145" s="1"/>
      <c r="T3145" s="1"/>
      <c r="U3145" s="1"/>
      <c r="V3145" s="1"/>
      <c r="W3145" s="1"/>
      <c r="X3145" s="1"/>
      <c r="Y3145" s="1"/>
      <c r="Z3145" s="1"/>
    </row>
    <row r="3146" customFormat="false" ht="21.75" hidden="false" customHeight="true" outlineLevel="0" collapsed="false">
      <c r="A3146" s="4" t="n">
        <v>43507</v>
      </c>
      <c r="B3146" s="46" t="s">
        <v>1114</v>
      </c>
      <c r="C3146" s="46" t="s">
        <v>15</v>
      </c>
      <c r="D3146" s="46" t="s">
        <v>43</v>
      </c>
      <c r="E3146" s="46" t="s">
        <v>109</v>
      </c>
      <c r="F3146" s="46" t="s">
        <v>7271</v>
      </c>
      <c r="G3146" s="46" t="n">
        <f aca="false">+593983844773</f>
        <v>593983844773</v>
      </c>
      <c r="H3146" s="46" t="s">
        <v>7272</v>
      </c>
      <c r="I3146" s="46"/>
      <c r="J3146" s="1"/>
      <c r="K3146" s="1" t="s">
        <v>7273</v>
      </c>
      <c r="L3146" s="1"/>
      <c r="M3146" s="1"/>
      <c r="N3146" s="1"/>
      <c r="O3146" s="1"/>
      <c r="P3146" s="6"/>
      <c r="Q3146" s="1"/>
      <c r="R3146" s="1"/>
      <c r="S3146" s="1"/>
      <c r="T3146" s="1"/>
      <c r="U3146" s="1"/>
      <c r="V3146" s="1"/>
      <c r="W3146" s="1"/>
      <c r="X3146" s="1"/>
      <c r="Y3146" s="1"/>
      <c r="Z3146" s="1"/>
    </row>
    <row r="3147" customFormat="false" ht="21.75" hidden="false" customHeight="true" outlineLevel="0" collapsed="false">
      <c r="A3147" s="4" t="n">
        <v>43507</v>
      </c>
      <c r="B3147" s="46" t="s">
        <v>532</v>
      </c>
      <c r="C3147" s="46" t="s">
        <v>15</v>
      </c>
      <c r="D3147" s="46" t="s">
        <v>43</v>
      </c>
      <c r="E3147" s="46" t="s">
        <v>109</v>
      </c>
      <c r="F3147" s="46" t="s">
        <v>7274</v>
      </c>
      <c r="G3147" s="46" t="n">
        <f aca="false">+593968893334</f>
        <v>593968893334</v>
      </c>
      <c r="H3147" s="46" t="s">
        <v>7275</v>
      </c>
      <c r="I3147" s="46"/>
      <c r="J3147" s="1"/>
      <c r="K3147" s="1" t="s">
        <v>1156</v>
      </c>
      <c r="L3147" s="1" t="s">
        <v>7276</v>
      </c>
      <c r="M3147" s="1"/>
      <c r="N3147" s="1"/>
      <c r="O3147" s="1"/>
      <c r="P3147" s="6"/>
      <c r="Q3147" s="1"/>
      <c r="R3147" s="1"/>
      <c r="S3147" s="1"/>
      <c r="T3147" s="1"/>
      <c r="U3147" s="1"/>
      <c r="V3147" s="1"/>
      <c r="W3147" s="1"/>
      <c r="X3147" s="1"/>
      <c r="Y3147" s="1"/>
      <c r="Z3147" s="1"/>
    </row>
    <row r="3148" customFormat="false" ht="21.75" hidden="false" customHeight="true" outlineLevel="0" collapsed="false">
      <c r="A3148" s="4" t="n">
        <v>43507</v>
      </c>
      <c r="B3148" s="46" t="s">
        <v>352</v>
      </c>
      <c r="C3148" s="46" t="s">
        <v>15</v>
      </c>
      <c r="D3148" s="46" t="s">
        <v>43</v>
      </c>
      <c r="E3148" s="46" t="s">
        <v>109</v>
      </c>
      <c r="F3148" s="46" t="s">
        <v>7277</v>
      </c>
      <c r="G3148" s="46" t="n">
        <f aca="false">+593986495678</f>
        <v>593986495678</v>
      </c>
      <c r="H3148" s="46" t="s">
        <v>7278</v>
      </c>
      <c r="I3148" s="46"/>
      <c r="J3148" s="1"/>
      <c r="K3148" s="1" t="s">
        <v>6587</v>
      </c>
      <c r="L3148" s="1"/>
      <c r="M3148" s="1"/>
      <c r="N3148" s="1"/>
      <c r="O3148" s="1"/>
      <c r="P3148" s="6"/>
      <c r="Q3148" s="1"/>
      <c r="R3148" s="1"/>
      <c r="S3148" s="1"/>
      <c r="T3148" s="1"/>
      <c r="U3148" s="1"/>
      <c r="V3148" s="1"/>
      <c r="W3148" s="1"/>
      <c r="X3148" s="1"/>
      <c r="Y3148" s="1"/>
      <c r="Z3148" s="1"/>
    </row>
    <row r="3149" customFormat="false" ht="21.75" hidden="false" customHeight="true" outlineLevel="0" collapsed="false">
      <c r="A3149" s="4" t="n">
        <v>43507</v>
      </c>
      <c r="B3149" s="46" t="s">
        <v>352</v>
      </c>
      <c r="C3149" s="46" t="s">
        <v>26</v>
      </c>
      <c r="D3149" s="46" t="s">
        <v>43</v>
      </c>
      <c r="E3149" s="46" t="s">
        <v>109</v>
      </c>
      <c r="F3149" s="46" t="s">
        <v>7279</v>
      </c>
      <c r="G3149" s="46" t="n">
        <f aca="false">+593969573649</f>
        <v>593969573649</v>
      </c>
      <c r="H3149" s="46" t="s">
        <v>7280</v>
      </c>
      <c r="I3149" s="46"/>
      <c r="J3149" s="1"/>
      <c r="K3149" s="1" t="s">
        <v>7281</v>
      </c>
      <c r="L3149" s="1"/>
      <c r="M3149" s="1"/>
      <c r="N3149" s="1"/>
      <c r="O3149" s="1"/>
      <c r="P3149" s="6"/>
      <c r="Q3149" s="1"/>
      <c r="R3149" s="1"/>
      <c r="S3149" s="1"/>
      <c r="T3149" s="1"/>
      <c r="U3149" s="1"/>
      <c r="V3149" s="1"/>
      <c r="W3149" s="1"/>
      <c r="X3149" s="1"/>
      <c r="Y3149" s="1"/>
      <c r="Z3149" s="1"/>
    </row>
    <row r="3150" customFormat="false" ht="21.75" hidden="false" customHeight="true" outlineLevel="0" collapsed="false">
      <c r="A3150" s="4" t="n">
        <v>43507</v>
      </c>
      <c r="B3150" s="46" t="s">
        <v>1831</v>
      </c>
      <c r="C3150" s="46" t="s">
        <v>15</v>
      </c>
      <c r="D3150" s="46" t="s">
        <v>43</v>
      </c>
      <c r="E3150" s="46" t="s">
        <v>109</v>
      </c>
      <c r="F3150" s="46" t="s">
        <v>7282</v>
      </c>
      <c r="G3150" s="46" t="n">
        <f aca="false">+593989691277</f>
        <v>593989691277</v>
      </c>
      <c r="H3150" s="46" t="s">
        <v>7283</v>
      </c>
      <c r="I3150" s="46"/>
      <c r="J3150" s="1"/>
      <c r="K3150" s="1" t="s">
        <v>6455</v>
      </c>
      <c r="L3150" s="1"/>
      <c r="M3150" s="1"/>
      <c r="N3150" s="1"/>
      <c r="O3150" s="1"/>
      <c r="P3150" s="6"/>
      <c r="Q3150" s="1"/>
      <c r="R3150" s="1"/>
      <c r="S3150" s="1"/>
      <c r="T3150" s="1"/>
      <c r="U3150" s="1"/>
      <c r="V3150" s="1"/>
      <c r="W3150" s="1"/>
      <c r="X3150" s="1"/>
      <c r="Y3150" s="1"/>
      <c r="Z3150" s="1"/>
    </row>
    <row r="3151" customFormat="false" ht="21.75" hidden="false" customHeight="true" outlineLevel="0" collapsed="false">
      <c r="A3151" s="4" t="n">
        <v>43507</v>
      </c>
      <c r="B3151" s="46" t="s">
        <v>1114</v>
      </c>
      <c r="C3151" s="46" t="s">
        <v>15</v>
      </c>
      <c r="D3151" s="46" t="s">
        <v>43</v>
      </c>
      <c r="E3151" s="46" t="s">
        <v>109</v>
      </c>
      <c r="F3151" s="46" t="s">
        <v>7284</v>
      </c>
      <c r="G3151" s="46" t="n">
        <f aca="false">+593981388053</f>
        <v>593981388053</v>
      </c>
      <c r="H3151" s="46" t="s">
        <v>7285</v>
      </c>
      <c r="I3151" s="46"/>
      <c r="J3151" s="1"/>
      <c r="K3151" s="1" t="s">
        <v>1156</v>
      </c>
      <c r="L3151" s="1" t="s">
        <v>21</v>
      </c>
      <c r="M3151" s="1"/>
      <c r="N3151" s="1"/>
      <c r="O3151" s="1"/>
      <c r="P3151" s="6"/>
      <c r="Q3151" s="1"/>
      <c r="R3151" s="1"/>
      <c r="S3151" s="1"/>
      <c r="T3151" s="1"/>
      <c r="U3151" s="1"/>
      <c r="V3151" s="1"/>
      <c r="W3151" s="1"/>
      <c r="X3151" s="1"/>
      <c r="Y3151" s="1"/>
      <c r="Z3151" s="1"/>
    </row>
    <row r="3152" customFormat="false" ht="21.75" hidden="false" customHeight="true" outlineLevel="0" collapsed="false">
      <c r="A3152" s="4" t="n">
        <v>43507</v>
      </c>
      <c r="B3152" s="46" t="s">
        <v>532</v>
      </c>
      <c r="C3152" s="46" t="s">
        <v>15</v>
      </c>
      <c r="D3152" s="46" t="s">
        <v>43</v>
      </c>
      <c r="E3152" s="46" t="s">
        <v>109</v>
      </c>
      <c r="F3152" s="46" t="s">
        <v>7286</v>
      </c>
      <c r="G3152" s="46" t="n">
        <f aca="false">+593981077875</f>
        <v>593981077875</v>
      </c>
      <c r="H3152" s="46" t="s">
        <v>7287</v>
      </c>
      <c r="I3152" s="46"/>
      <c r="J3152" s="1"/>
      <c r="K3152" s="1" t="s">
        <v>6528</v>
      </c>
      <c r="L3152" s="1"/>
      <c r="M3152" s="1"/>
      <c r="N3152" s="1"/>
      <c r="O3152" s="1"/>
      <c r="P3152" s="6"/>
      <c r="Q3152" s="1"/>
      <c r="R3152" s="1"/>
      <c r="S3152" s="1"/>
      <c r="T3152" s="1"/>
      <c r="U3152" s="1"/>
      <c r="V3152" s="1"/>
      <c r="W3152" s="1"/>
      <c r="X3152" s="1"/>
      <c r="Y3152" s="1"/>
      <c r="Z3152" s="1"/>
    </row>
    <row r="3153" customFormat="false" ht="21.75" hidden="false" customHeight="true" outlineLevel="0" collapsed="false">
      <c r="A3153" s="4" t="n">
        <v>43507</v>
      </c>
      <c r="B3153" s="46" t="s">
        <v>352</v>
      </c>
      <c r="C3153" s="46" t="s">
        <v>15</v>
      </c>
      <c r="D3153" s="46" t="s">
        <v>43</v>
      </c>
      <c r="E3153" s="46" t="s">
        <v>109</v>
      </c>
      <c r="F3153" s="46" t="s">
        <v>7288</v>
      </c>
      <c r="G3153" s="46" t="n">
        <f aca="false">+593969314792</f>
        <v>593969314792</v>
      </c>
      <c r="H3153" s="46" t="s">
        <v>7289</v>
      </c>
      <c r="I3153" s="46"/>
      <c r="J3153" s="1"/>
      <c r="K3153" s="1" t="s">
        <v>1156</v>
      </c>
      <c r="L3153" s="1" t="s">
        <v>260</v>
      </c>
      <c r="M3153" s="1"/>
      <c r="N3153" s="1"/>
      <c r="O3153" s="1"/>
      <c r="P3153" s="6"/>
      <c r="Q3153" s="1"/>
      <c r="R3153" s="1"/>
      <c r="S3153" s="1"/>
      <c r="T3153" s="1"/>
      <c r="U3153" s="1"/>
      <c r="V3153" s="1"/>
      <c r="W3153" s="1"/>
      <c r="X3153" s="1"/>
      <c r="Y3153" s="1"/>
      <c r="Z3153" s="1"/>
    </row>
    <row r="3154" customFormat="false" ht="21.75" hidden="false" customHeight="true" outlineLevel="0" collapsed="false">
      <c r="A3154" s="4" t="n">
        <v>43507</v>
      </c>
      <c r="B3154" s="46" t="s">
        <v>127</v>
      </c>
      <c r="C3154" s="46" t="s">
        <v>15</v>
      </c>
      <c r="D3154" s="46" t="s">
        <v>43</v>
      </c>
      <c r="E3154" s="46" t="s">
        <v>109</v>
      </c>
      <c r="F3154" s="46" t="s">
        <v>7290</v>
      </c>
      <c r="G3154" s="46" t="n">
        <f aca="false">+593989846239</f>
        <v>593989846239</v>
      </c>
      <c r="H3154" s="46" t="s">
        <v>7291</v>
      </c>
      <c r="I3154" s="46"/>
      <c r="J3154" s="1"/>
      <c r="K3154" s="1" t="s">
        <v>7292</v>
      </c>
      <c r="L3154" s="1"/>
      <c r="M3154" s="1"/>
      <c r="N3154" s="1"/>
      <c r="O3154" s="1"/>
      <c r="P3154" s="6"/>
      <c r="Q3154" s="1"/>
      <c r="R3154" s="1"/>
      <c r="S3154" s="1"/>
      <c r="T3154" s="1"/>
      <c r="U3154" s="1"/>
      <c r="V3154" s="1"/>
      <c r="W3154" s="1"/>
      <c r="X3154" s="1"/>
      <c r="Y3154" s="1"/>
      <c r="Z3154" s="1"/>
    </row>
    <row r="3155" customFormat="false" ht="21.75" hidden="false" customHeight="true" outlineLevel="0" collapsed="false">
      <c r="A3155" s="4" t="n">
        <v>43507</v>
      </c>
      <c r="B3155" s="46" t="s">
        <v>1106</v>
      </c>
      <c r="C3155" s="46" t="s">
        <v>15</v>
      </c>
      <c r="D3155" s="46" t="s">
        <v>43</v>
      </c>
      <c r="E3155" s="46" t="s">
        <v>109</v>
      </c>
      <c r="F3155" s="46" t="s">
        <v>7293</v>
      </c>
      <c r="G3155" s="57" t="n">
        <v>978717528</v>
      </c>
      <c r="H3155" s="46" t="s">
        <v>7294</v>
      </c>
      <c r="I3155" s="46"/>
      <c r="J3155" s="1"/>
      <c r="K3155" s="1" t="s">
        <v>7295</v>
      </c>
      <c r="L3155" s="1"/>
      <c r="M3155" s="1"/>
      <c r="N3155" s="1"/>
      <c r="O3155" s="1"/>
      <c r="P3155" s="6"/>
      <c r="Q3155" s="1"/>
      <c r="R3155" s="1"/>
      <c r="S3155" s="1"/>
      <c r="T3155" s="1"/>
      <c r="U3155" s="1"/>
      <c r="V3155" s="1"/>
      <c r="W3155" s="1"/>
      <c r="X3155" s="1"/>
      <c r="Y3155" s="1"/>
      <c r="Z3155" s="1"/>
    </row>
    <row r="3156" customFormat="false" ht="21.75" hidden="false" customHeight="true" outlineLevel="0" collapsed="false">
      <c r="A3156" s="4" t="n">
        <v>43507</v>
      </c>
      <c r="B3156" s="46" t="s">
        <v>42</v>
      </c>
      <c r="C3156" s="46" t="s">
        <v>15</v>
      </c>
      <c r="D3156" s="46" t="s">
        <v>43</v>
      </c>
      <c r="E3156" s="46" t="s">
        <v>109</v>
      </c>
      <c r="F3156" s="46" t="s">
        <v>7296</v>
      </c>
      <c r="G3156" s="46" t="n">
        <f aca="false">+593988535190</f>
        <v>593988535190</v>
      </c>
      <c r="H3156" s="46" t="s">
        <v>7297</v>
      </c>
      <c r="I3156" s="46"/>
      <c r="J3156" s="1"/>
      <c r="K3156" s="1" t="s">
        <v>7298</v>
      </c>
      <c r="L3156" s="1"/>
      <c r="M3156" s="1"/>
      <c r="N3156" s="1"/>
      <c r="O3156" s="1"/>
      <c r="P3156" s="6"/>
      <c r="Q3156" s="1"/>
      <c r="R3156" s="1"/>
      <c r="S3156" s="1"/>
      <c r="T3156" s="1"/>
      <c r="U3156" s="1"/>
      <c r="V3156" s="1"/>
      <c r="W3156" s="1"/>
      <c r="X3156" s="1"/>
      <c r="Y3156" s="1"/>
      <c r="Z3156" s="1"/>
    </row>
    <row r="3157" customFormat="false" ht="21.75" hidden="false" customHeight="true" outlineLevel="0" collapsed="false">
      <c r="A3157" s="4" t="n">
        <v>43507</v>
      </c>
      <c r="B3157" s="46" t="s">
        <v>352</v>
      </c>
      <c r="C3157" s="46" t="s">
        <v>15</v>
      </c>
      <c r="D3157" s="46" t="s">
        <v>43</v>
      </c>
      <c r="E3157" s="46" t="s">
        <v>109</v>
      </c>
      <c r="F3157" s="46" t="s">
        <v>7299</v>
      </c>
      <c r="G3157" s="46" t="n">
        <f aca="false">+593939619800</f>
        <v>593939619800</v>
      </c>
      <c r="H3157" s="46" t="s">
        <v>7300</v>
      </c>
      <c r="I3157" s="46"/>
      <c r="J3157" s="1"/>
      <c r="K3157" s="1" t="s">
        <v>7301</v>
      </c>
      <c r="L3157" s="1"/>
      <c r="M3157" s="1"/>
      <c r="N3157" s="1"/>
      <c r="O3157" s="1"/>
      <c r="P3157" s="6"/>
      <c r="Q3157" s="1"/>
      <c r="R3157" s="1"/>
      <c r="S3157" s="1"/>
      <c r="T3157" s="1"/>
      <c r="U3157" s="1"/>
      <c r="V3157" s="1"/>
      <c r="W3157" s="1"/>
      <c r="X3157" s="1"/>
      <c r="Y3157" s="1"/>
      <c r="Z3157" s="1"/>
    </row>
    <row r="3158" customFormat="false" ht="21.75" hidden="false" customHeight="true" outlineLevel="0" collapsed="false">
      <c r="A3158" s="4" t="n">
        <v>43507</v>
      </c>
      <c r="B3158" s="46" t="s">
        <v>1106</v>
      </c>
      <c r="C3158" s="46" t="s">
        <v>15</v>
      </c>
      <c r="D3158" s="46" t="s">
        <v>43</v>
      </c>
      <c r="E3158" s="46" t="s">
        <v>109</v>
      </c>
      <c r="F3158" s="46" t="s">
        <v>7302</v>
      </c>
      <c r="G3158" s="46" t="n">
        <f aca="false">+5930980816417</f>
        <v>5930980816417</v>
      </c>
      <c r="H3158" s="46" t="s">
        <v>7303</v>
      </c>
      <c r="I3158" s="46"/>
      <c r="J3158" s="1"/>
      <c r="K3158" s="1" t="s">
        <v>7304</v>
      </c>
      <c r="L3158" s="1"/>
      <c r="M3158" s="1"/>
      <c r="N3158" s="1"/>
      <c r="O3158" s="1"/>
      <c r="P3158" s="6"/>
      <c r="Q3158" s="1"/>
      <c r="R3158" s="1"/>
      <c r="S3158" s="1"/>
      <c r="T3158" s="1"/>
      <c r="U3158" s="1"/>
      <c r="V3158" s="1"/>
      <c r="W3158" s="1"/>
      <c r="X3158" s="1"/>
      <c r="Y3158" s="1"/>
      <c r="Z3158" s="1"/>
    </row>
    <row r="3159" customFormat="false" ht="21.75" hidden="false" customHeight="true" outlineLevel="0" collapsed="false">
      <c r="A3159" s="4" t="n">
        <v>43507</v>
      </c>
      <c r="B3159" s="46" t="s">
        <v>48</v>
      </c>
      <c r="C3159" s="46" t="s">
        <v>15</v>
      </c>
      <c r="D3159" s="46" t="s">
        <v>43</v>
      </c>
      <c r="E3159" s="46" t="s">
        <v>109</v>
      </c>
      <c r="F3159" s="46" t="s">
        <v>7305</v>
      </c>
      <c r="G3159" s="46" t="n">
        <f aca="false">+5930987346652</f>
        <v>5930987346652</v>
      </c>
      <c r="H3159" s="46" t="s">
        <v>7306</v>
      </c>
      <c r="I3159" s="46"/>
      <c r="J3159" s="1"/>
      <c r="K3159" s="1" t="s">
        <v>6478</v>
      </c>
      <c r="L3159" s="1"/>
      <c r="M3159" s="1"/>
      <c r="N3159" s="1"/>
      <c r="O3159" s="1"/>
      <c r="P3159" s="6"/>
      <c r="Q3159" s="1"/>
      <c r="R3159" s="1"/>
      <c r="S3159" s="1"/>
      <c r="T3159" s="1"/>
      <c r="U3159" s="1"/>
      <c r="V3159" s="1"/>
      <c r="W3159" s="1"/>
      <c r="X3159" s="1"/>
      <c r="Y3159" s="1"/>
      <c r="Z3159" s="1"/>
    </row>
    <row r="3160" customFormat="false" ht="21.75" hidden="false" customHeight="true" outlineLevel="0" collapsed="false">
      <c r="A3160" s="4" t="n">
        <v>43507</v>
      </c>
      <c r="B3160" s="46" t="s">
        <v>81</v>
      </c>
      <c r="C3160" s="46" t="s">
        <v>15</v>
      </c>
      <c r="D3160" s="46" t="s">
        <v>43</v>
      </c>
      <c r="E3160" s="46" t="s">
        <v>109</v>
      </c>
      <c r="F3160" s="46" t="s">
        <v>7307</v>
      </c>
      <c r="G3160" s="46" t="n">
        <f aca="false">+5930981426584</f>
        <v>5930981426584</v>
      </c>
      <c r="H3160" s="46" t="s">
        <v>7308</v>
      </c>
      <c r="I3160" s="46"/>
      <c r="J3160" s="1"/>
      <c r="K3160" s="1" t="s">
        <v>1156</v>
      </c>
      <c r="L3160" s="1" t="s">
        <v>6430</v>
      </c>
      <c r="M3160" s="1"/>
      <c r="N3160" s="1"/>
      <c r="O3160" s="1"/>
      <c r="P3160" s="6"/>
      <c r="Q3160" s="1"/>
      <c r="R3160" s="1"/>
      <c r="S3160" s="1"/>
      <c r="T3160" s="1"/>
      <c r="U3160" s="1"/>
      <c r="V3160" s="1"/>
      <c r="W3160" s="1"/>
      <c r="X3160" s="1"/>
      <c r="Y3160" s="1"/>
      <c r="Z3160" s="1"/>
    </row>
    <row r="3161" customFormat="false" ht="21.75" hidden="false" customHeight="true" outlineLevel="0" collapsed="false">
      <c r="A3161" s="4" t="n">
        <v>43507</v>
      </c>
      <c r="B3161" s="46" t="s">
        <v>1114</v>
      </c>
      <c r="C3161" s="46" t="s">
        <v>15</v>
      </c>
      <c r="D3161" s="46" t="s">
        <v>43</v>
      </c>
      <c r="E3161" s="46" t="s">
        <v>109</v>
      </c>
      <c r="F3161" s="46" t="s">
        <v>7309</v>
      </c>
      <c r="G3161" s="57" t="n">
        <v>991229438</v>
      </c>
      <c r="H3161" s="46" t="s">
        <v>7310</v>
      </c>
      <c r="I3161" s="46"/>
      <c r="J3161" s="1"/>
      <c r="K3161" s="1" t="s">
        <v>1156</v>
      </c>
      <c r="L3161" s="1" t="s">
        <v>673</v>
      </c>
      <c r="M3161" s="1"/>
      <c r="N3161" s="1"/>
      <c r="O3161" s="1"/>
      <c r="P3161" s="6"/>
      <c r="Q3161" s="1"/>
      <c r="R3161" s="1"/>
      <c r="S3161" s="1"/>
      <c r="T3161" s="1"/>
      <c r="U3161" s="1"/>
      <c r="V3161" s="1"/>
      <c r="W3161" s="1"/>
      <c r="X3161" s="1"/>
      <c r="Y3161" s="1"/>
      <c r="Z3161" s="1"/>
    </row>
    <row r="3162" customFormat="false" ht="21.75" hidden="false" customHeight="true" outlineLevel="0" collapsed="false">
      <c r="A3162" s="4" t="n">
        <v>43507</v>
      </c>
      <c r="B3162" s="46" t="s">
        <v>127</v>
      </c>
      <c r="C3162" s="46" t="s">
        <v>15</v>
      </c>
      <c r="D3162" s="46" t="s">
        <v>43</v>
      </c>
      <c r="E3162" s="46" t="s">
        <v>109</v>
      </c>
      <c r="F3162" s="46" t="s">
        <v>7311</v>
      </c>
      <c r="G3162" s="46" t="n">
        <f aca="false">+593986527913</f>
        <v>593986527913</v>
      </c>
      <c r="H3162" s="46" t="s">
        <v>7312</v>
      </c>
      <c r="I3162" s="46"/>
      <c r="J3162" s="1"/>
      <c r="K3162" s="1" t="s">
        <v>1156</v>
      </c>
      <c r="L3162" s="1" t="s">
        <v>7313</v>
      </c>
      <c r="M3162" s="1"/>
      <c r="N3162" s="1"/>
      <c r="O3162" s="1"/>
      <c r="P3162" s="6"/>
      <c r="Q3162" s="1"/>
      <c r="R3162" s="1"/>
      <c r="S3162" s="1"/>
      <c r="T3162" s="1"/>
      <c r="U3162" s="1"/>
      <c r="V3162" s="1"/>
      <c r="W3162" s="1"/>
      <c r="X3162" s="1"/>
      <c r="Y3162" s="1"/>
      <c r="Z3162" s="1"/>
    </row>
    <row r="3163" customFormat="false" ht="21.75" hidden="false" customHeight="true" outlineLevel="0" collapsed="false">
      <c r="A3163" s="4" t="n">
        <v>43507</v>
      </c>
      <c r="B3163" s="46" t="s">
        <v>415</v>
      </c>
      <c r="C3163" s="46" t="s">
        <v>15</v>
      </c>
      <c r="D3163" s="46" t="s">
        <v>43</v>
      </c>
      <c r="E3163" s="46" t="s">
        <v>109</v>
      </c>
      <c r="F3163" s="46" t="s">
        <v>7314</v>
      </c>
      <c r="G3163" s="46" t="n">
        <f aca="false">+593989266108</f>
        <v>593989266108</v>
      </c>
      <c r="H3163" s="46" t="s">
        <v>7315</v>
      </c>
      <c r="I3163" s="46"/>
      <c r="J3163" s="1"/>
      <c r="K3163" s="1" t="s">
        <v>6989</v>
      </c>
      <c r="L3163" s="1"/>
      <c r="M3163" s="1"/>
      <c r="N3163" s="1"/>
      <c r="O3163" s="1"/>
      <c r="P3163" s="6"/>
      <c r="Q3163" s="1"/>
      <c r="R3163" s="1"/>
      <c r="S3163" s="1"/>
      <c r="T3163" s="1"/>
      <c r="U3163" s="1"/>
      <c r="V3163" s="1"/>
      <c r="W3163" s="1"/>
      <c r="X3163" s="1"/>
      <c r="Y3163" s="1"/>
      <c r="Z3163" s="1"/>
    </row>
    <row r="3164" customFormat="false" ht="21.75" hidden="false" customHeight="true" outlineLevel="0" collapsed="false">
      <c r="A3164" s="4" t="n">
        <v>43507</v>
      </c>
      <c r="B3164" s="46" t="s">
        <v>48</v>
      </c>
      <c r="C3164" s="46" t="s">
        <v>15</v>
      </c>
      <c r="D3164" s="46" t="s">
        <v>43</v>
      </c>
      <c r="E3164" s="46" t="s">
        <v>109</v>
      </c>
      <c r="F3164" s="46" t="s">
        <v>7316</v>
      </c>
      <c r="G3164" s="46" t="n">
        <f aca="false">+593968671635</f>
        <v>593968671635</v>
      </c>
      <c r="H3164" s="46" t="s">
        <v>7317</v>
      </c>
      <c r="I3164" s="46"/>
      <c r="J3164" s="1"/>
      <c r="K3164" s="1" t="s">
        <v>1156</v>
      </c>
      <c r="L3164" s="1" t="s">
        <v>7318</v>
      </c>
      <c r="M3164" s="1"/>
      <c r="N3164" s="1"/>
      <c r="O3164" s="1"/>
      <c r="P3164" s="6"/>
      <c r="Q3164" s="1"/>
      <c r="R3164" s="1"/>
      <c r="S3164" s="1"/>
      <c r="T3164" s="1"/>
      <c r="U3164" s="1"/>
      <c r="V3164" s="1"/>
      <c r="W3164" s="1"/>
      <c r="X3164" s="1"/>
      <c r="Y3164" s="1"/>
      <c r="Z3164" s="1"/>
    </row>
    <row r="3165" customFormat="false" ht="21.75" hidden="false" customHeight="true" outlineLevel="0" collapsed="false">
      <c r="A3165" s="4" t="n">
        <v>43507</v>
      </c>
      <c r="B3165" s="46" t="s">
        <v>532</v>
      </c>
      <c r="C3165" s="46" t="s">
        <v>15</v>
      </c>
      <c r="D3165" s="46" t="s">
        <v>43</v>
      </c>
      <c r="E3165" s="46" t="s">
        <v>109</v>
      </c>
      <c r="F3165" s="46" t="s">
        <v>7319</v>
      </c>
      <c r="G3165" s="46" t="n">
        <f aca="false">+593981010743</f>
        <v>593981010743</v>
      </c>
      <c r="H3165" s="46" t="s">
        <v>7320</v>
      </c>
      <c r="I3165" s="46"/>
      <c r="J3165" s="1"/>
      <c r="K3165" s="1" t="s">
        <v>7321</v>
      </c>
      <c r="L3165" s="1"/>
      <c r="M3165" s="1"/>
      <c r="N3165" s="1"/>
      <c r="O3165" s="1"/>
      <c r="P3165" s="6"/>
      <c r="Q3165" s="1"/>
      <c r="R3165" s="1"/>
      <c r="S3165" s="1"/>
      <c r="T3165" s="1"/>
      <c r="U3165" s="1"/>
      <c r="V3165" s="1"/>
      <c r="W3165" s="1"/>
      <c r="X3165" s="1"/>
      <c r="Y3165" s="1"/>
      <c r="Z3165" s="1"/>
    </row>
    <row r="3166" customFormat="false" ht="21.75" hidden="false" customHeight="true" outlineLevel="0" collapsed="false">
      <c r="A3166" s="4" t="n">
        <v>43507</v>
      </c>
      <c r="B3166" s="46" t="s">
        <v>532</v>
      </c>
      <c r="C3166" s="46" t="s">
        <v>15</v>
      </c>
      <c r="D3166" s="46" t="s">
        <v>43</v>
      </c>
      <c r="E3166" s="46" t="s">
        <v>109</v>
      </c>
      <c r="F3166" s="46" t="s">
        <v>7322</v>
      </c>
      <c r="G3166" s="46" t="n">
        <f aca="false">+593989605615</f>
        <v>593989605615</v>
      </c>
      <c r="H3166" s="46" t="s">
        <v>7323</v>
      </c>
      <c r="I3166" s="46"/>
      <c r="J3166" s="1"/>
      <c r="K3166" s="1" t="s">
        <v>7324</v>
      </c>
      <c r="L3166" s="1"/>
      <c r="M3166" s="1"/>
      <c r="N3166" s="1"/>
      <c r="O3166" s="1"/>
      <c r="P3166" s="6"/>
      <c r="Q3166" s="1"/>
      <c r="R3166" s="1"/>
      <c r="S3166" s="1"/>
      <c r="T3166" s="1"/>
      <c r="U3166" s="1"/>
      <c r="V3166" s="1"/>
      <c r="W3166" s="1"/>
      <c r="X3166" s="1"/>
      <c r="Y3166" s="1"/>
      <c r="Z3166" s="1"/>
    </row>
    <row r="3167" customFormat="false" ht="21.75" hidden="false" customHeight="true" outlineLevel="0" collapsed="false">
      <c r="A3167" s="4" t="n">
        <v>43507</v>
      </c>
      <c r="B3167" s="46" t="s">
        <v>532</v>
      </c>
      <c r="C3167" s="46" t="s">
        <v>15</v>
      </c>
      <c r="D3167" s="46" t="s">
        <v>43</v>
      </c>
      <c r="E3167" s="46" t="s">
        <v>109</v>
      </c>
      <c r="F3167" s="46" t="s">
        <v>7325</v>
      </c>
      <c r="G3167" s="46" t="n">
        <f aca="false">+593968279114</f>
        <v>593968279114</v>
      </c>
      <c r="H3167" s="46" t="s">
        <v>7326</v>
      </c>
      <c r="I3167" s="46"/>
      <c r="J3167" s="1"/>
      <c r="K3167" s="1" t="s">
        <v>1156</v>
      </c>
      <c r="L3167" s="1" t="s">
        <v>7327</v>
      </c>
      <c r="M3167" s="1"/>
      <c r="N3167" s="1"/>
      <c r="O3167" s="1"/>
      <c r="P3167" s="6"/>
      <c r="Q3167" s="1"/>
      <c r="R3167" s="1"/>
      <c r="S3167" s="1"/>
      <c r="T3167" s="1"/>
      <c r="U3167" s="1"/>
      <c r="V3167" s="1"/>
      <c r="W3167" s="1"/>
      <c r="X3167" s="1"/>
      <c r="Y3167" s="1"/>
      <c r="Z3167" s="1"/>
    </row>
    <row r="3168" customFormat="false" ht="21.75" hidden="false" customHeight="true" outlineLevel="0" collapsed="false">
      <c r="A3168" s="4" t="n">
        <v>43507</v>
      </c>
      <c r="B3168" s="46" t="s">
        <v>1114</v>
      </c>
      <c r="C3168" s="46" t="s">
        <v>15</v>
      </c>
      <c r="D3168" s="46" t="s">
        <v>43</v>
      </c>
      <c r="E3168" s="46" t="s">
        <v>109</v>
      </c>
      <c r="F3168" s="46" t="s">
        <v>7328</v>
      </c>
      <c r="G3168" s="57" t="n">
        <v>988157066</v>
      </c>
      <c r="H3168" s="46" t="s">
        <v>7329</v>
      </c>
      <c r="I3168" s="46"/>
      <c r="J3168" s="1"/>
      <c r="K3168" s="1" t="s">
        <v>6586</v>
      </c>
      <c r="L3168" s="1"/>
      <c r="M3168" s="1"/>
      <c r="N3168" s="1"/>
      <c r="O3168" s="1"/>
      <c r="P3168" s="6"/>
      <c r="Q3168" s="1"/>
      <c r="R3168" s="1"/>
      <c r="S3168" s="1"/>
      <c r="T3168" s="1"/>
      <c r="U3168" s="1"/>
      <c r="V3168" s="1"/>
      <c r="W3168" s="1"/>
      <c r="X3168" s="1"/>
      <c r="Y3168" s="1"/>
      <c r="Z3168" s="1"/>
    </row>
    <row r="3169" customFormat="false" ht="21.75" hidden="false" customHeight="true" outlineLevel="0" collapsed="false">
      <c r="A3169" s="4" t="n">
        <v>43507</v>
      </c>
      <c r="B3169" s="46" t="s">
        <v>127</v>
      </c>
      <c r="C3169" s="46" t="s">
        <v>15</v>
      </c>
      <c r="D3169" s="46" t="s">
        <v>43</v>
      </c>
      <c r="E3169" s="46" t="s">
        <v>109</v>
      </c>
      <c r="F3169" s="46" t="s">
        <v>7003</v>
      </c>
      <c r="G3169" s="46" t="n">
        <f aca="false">+593995243303</f>
        <v>593995243303</v>
      </c>
      <c r="H3169" s="46" t="s">
        <v>7330</v>
      </c>
      <c r="I3169" s="46"/>
      <c r="J3169" s="1"/>
      <c r="K3169" s="1" t="s">
        <v>6555</v>
      </c>
      <c r="L3169" s="1"/>
      <c r="M3169" s="1"/>
      <c r="N3169" s="1"/>
      <c r="O3169" s="1"/>
      <c r="P3169" s="6"/>
      <c r="Q3169" s="1"/>
      <c r="R3169" s="1"/>
      <c r="S3169" s="1"/>
      <c r="T3169" s="1"/>
      <c r="U3169" s="1"/>
      <c r="V3169" s="1"/>
      <c r="W3169" s="1"/>
      <c r="X3169" s="1"/>
      <c r="Y3169" s="1"/>
      <c r="Z3169" s="1"/>
    </row>
    <row r="3170" customFormat="false" ht="21.75" hidden="false" customHeight="true" outlineLevel="0" collapsed="false">
      <c r="A3170" s="4" t="n">
        <v>43507</v>
      </c>
      <c r="B3170" s="46" t="s">
        <v>1478</v>
      </c>
      <c r="C3170" s="46" t="s">
        <v>15</v>
      </c>
      <c r="D3170" s="46" t="s">
        <v>43</v>
      </c>
      <c r="E3170" s="46" t="s">
        <v>109</v>
      </c>
      <c r="F3170" s="46" t="s">
        <v>7331</v>
      </c>
      <c r="G3170" s="46" t="n">
        <f aca="false">+5930968570227</f>
        <v>5930968570227</v>
      </c>
      <c r="H3170" s="46" t="s">
        <v>7332</v>
      </c>
      <c r="I3170" s="46"/>
      <c r="J3170" s="1"/>
      <c r="K3170" s="1" t="s">
        <v>1156</v>
      </c>
      <c r="L3170" s="1" t="s">
        <v>7333</v>
      </c>
      <c r="M3170" s="1"/>
      <c r="N3170" s="1"/>
      <c r="O3170" s="1"/>
      <c r="P3170" s="6"/>
      <c r="Q3170" s="1"/>
      <c r="R3170" s="1"/>
      <c r="S3170" s="1"/>
      <c r="T3170" s="1"/>
      <c r="U3170" s="1"/>
      <c r="V3170" s="1"/>
      <c r="W3170" s="1"/>
      <c r="X3170" s="1"/>
      <c r="Y3170" s="1"/>
      <c r="Z3170" s="1"/>
    </row>
    <row r="3171" customFormat="false" ht="21.75" hidden="false" customHeight="true" outlineLevel="0" collapsed="false">
      <c r="A3171" s="4" t="n">
        <v>43507</v>
      </c>
      <c r="B3171" s="46" t="s">
        <v>1114</v>
      </c>
      <c r="C3171" s="46" t="s">
        <v>15</v>
      </c>
      <c r="D3171" s="46" t="s">
        <v>43</v>
      </c>
      <c r="E3171" s="46" t="s">
        <v>109</v>
      </c>
      <c r="F3171" s="46" t="s">
        <v>7334</v>
      </c>
      <c r="G3171" s="46" t="n">
        <f aca="false">+593995211389</f>
        <v>593995211389</v>
      </c>
      <c r="H3171" s="46" t="s">
        <v>7335</v>
      </c>
      <c r="I3171" s="46"/>
      <c r="J3171" s="1"/>
      <c r="K3171" s="1" t="s">
        <v>1156</v>
      </c>
      <c r="L3171" s="1"/>
      <c r="M3171" s="1"/>
      <c r="N3171" s="1"/>
      <c r="O3171" s="1"/>
      <c r="P3171" s="6"/>
      <c r="Q3171" s="1"/>
      <c r="R3171" s="1"/>
      <c r="S3171" s="1"/>
      <c r="T3171" s="1"/>
      <c r="U3171" s="1"/>
      <c r="V3171" s="1"/>
      <c r="W3171" s="1"/>
      <c r="X3171" s="1"/>
      <c r="Y3171" s="1"/>
      <c r="Z3171" s="1"/>
    </row>
    <row r="3172" customFormat="false" ht="21.75" hidden="false" customHeight="true" outlineLevel="0" collapsed="false">
      <c r="A3172" s="4" t="n">
        <v>43507</v>
      </c>
      <c r="B3172" s="46" t="s">
        <v>1478</v>
      </c>
      <c r="C3172" s="46" t="s">
        <v>15</v>
      </c>
      <c r="D3172" s="46" t="s">
        <v>43</v>
      </c>
      <c r="E3172" s="46" t="s">
        <v>109</v>
      </c>
      <c r="F3172" s="46" t="s">
        <v>7336</v>
      </c>
      <c r="G3172" s="46" t="n">
        <f aca="false">+593994143419</f>
        <v>593994143419</v>
      </c>
      <c r="H3172" s="46" t="s">
        <v>7337</v>
      </c>
      <c r="I3172" s="46"/>
      <c r="J3172" s="1"/>
      <c r="K3172" s="1" t="s">
        <v>5481</v>
      </c>
      <c r="L3172" s="1"/>
      <c r="M3172" s="1"/>
      <c r="N3172" s="1"/>
      <c r="O3172" s="1"/>
      <c r="P3172" s="6"/>
      <c r="Q3172" s="1"/>
      <c r="R3172" s="1"/>
      <c r="S3172" s="1"/>
      <c r="T3172" s="1"/>
      <c r="U3172" s="1"/>
      <c r="V3172" s="1"/>
      <c r="W3172" s="1"/>
      <c r="X3172" s="1"/>
      <c r="Y3172" s="1"/>
      <c r="Z3172" s="1"/>
    </row>
    <row r="3173" customFormat="false" ht="21.75" hidden="false" customHeight="true" outlineLevel="0" collapsed="false">
      <c r="A3173" s="4" t="n">
        <v>43507</v>
      </c>
      <c r="B3173" s="46" t="s">
        <v>81</v>
      </c>
      <c r="C3173" s="46" t="s">
        <v>15</v>
      </c>
      <c r="D3173" s="46" t="s">
        <v>43</v>
      </c>
      <c r="E3173" s="46" t="s">
        <v>109</v>
      </c>
      <c r="F3173" s="46" t="s">
        <v>7338</v>
      </c>
      <c r="G3173" s="46" t="n">
        <f aca="false">+593978900189</f>
        <v>593978900189</v>
      </c>
      <c r="H3173" s="46" t="s">
        <v>7339</v>
      </c>
      <c r="I3173" s="46"/>
      <c r="J3173" s="1"/>
      <c r="K3173" s="1" t="s">
        <v>7340</v>
      </c>
      <c r="L3173" s="1"/>
      <c r="M3173" s="1"/>
      <c r="N3173" s="1"/>
      <c r="O3173" s="1"/>
      <c r="P3173" s="6"/>
      <c r="Q3173" s="1"/>
      <c r="R3173" s="1"/>
      <c r="S3173" s="1"/>
      <c r="T3173" s="1"/>
      <c r="U3173" s="1"/>
      <c r="V3173" s="1"/>
      <c r="W3173" s="1"/>
      <c r="X3173" s="1"/>
      <c r="Y3173" s="1"/>
      <c r="Z3173" s="1"/>
    </row>
    <row r="3174" customFormat="false" ht="21.75" hidden="false" customHeight="true" outlineLevel="0" collapsed="false">
      <c r="A3174" s="4" t="n">
        <v>43507</v>
      </c>
      <c r="B3174" s="46" t="s">
        <v>48</v>
      </c>
      <c r="C3174" s="46" t="s">
        <v>15</v>
      </c>
      <c r="D3174" s="46" t="s">
        <v>43</v>
      </c>
      <c r="E3174" s="46" t="s">
        <v>109</v>
      </c>
      <c r="F3174" s="46" t="s">
        <v>7341</v>
      </c>
      <c r="G3174" s="57" t="n">
        <v>991169667</v>
      </c>
      <c r="H3174" s="46" t="s">
        <v>7342</v>
      </c>
      <c r="I3174" s="46"/>
      <c r="J3174" s="1"/>
      <c r="K3174" s="1" t="s">
        <v>7343</v>
      </c>
      <c r="L3174" s="1"/>
      <c r="M3174" s="1"/>
      <c r="N3174" s="1"/>
      <c r="O3174" s="1"/>
      <c r="P3174" s="6"/>
      <c r="Q3174" s="1"/>
      <c r="R3174" s="1"/>
      <c r="S3174" s="1"/>
      <c r="T3174" s="1"/>
      <c r="U3174" s="1"/>
      <c r="V3174" s="1"/>
      <c r="W3174" s="1"/>
      <c r="X3174" s="1"/>
      <c r="Y3174" s="1"/>
      <c r="Z3174" s="1"/>
    </row>
    <row r="3175" customFormat="false" ht="21.75" hidden="false" customHeight="true" outlineLevel="0" collapsed="false">
      <c r="A3175" s="4" t="n">
        <v>43507</v>
      </c>
      <c r="B3175" s="46" t="s">
        <v>323</v>
      </c>
      <c r="C3175" s="46" t="s">
        <v>15</v>
      </c>
      <c r="D3175" s="46" t="s">
        <v>43</v>
      </c>
      <c r="E3175" s="46" t="s">
        <v>109</v>
      </c>
      <c r="F3175" s="46" t="s">
        <v>7344</v>
      </c>
      <c r="G3175" s="46" t="n">
        <f aca="false">+5930980255926</f>
        <v>5930980255926</v>
      </c>
      <c r="H3175" s="46" t="s">
        <v>7345</v>
      </c>
      <c r="I3175" s="46"/>
      <c r="J3175" s="1"/>
      <c r="K3175" s="1" t="s">
        <v>7346</v>
      </c>
      <c r="L3175" s="1"/>
      <c r="M3175" s="1"/>
      <c r="N3175" s="1"/>
      <c r="O3175" s="1"/>
      <c r="P3175" s="6"/>
      <c r="Q3175" s="1"/>
      <c r="R3175" s="1"/>
      <c r="S3175" s="1"/>
      <c r="T3175" s="1"/>
      <c r="U3175" s="1"/>
      <c r="V3175" s="1"/>
      <c r="W3175" s="1"/>
      <c r="X3175" s="1"/>
      <c r="Y3175" s="1"/>
      <c r="Z3175" s="1"/>
    </row>
    <row r="3176" customFormat="false" ht="21.75" hidden="false" customHeight="true" outlineLevel="0" collapsed="false">
      <c r="A3176" s="4" t="n">
        <v>43507</v>
      </c>
      <c r="B3176" s="46" t="s">
        <v>48</v>
      </c>
      <c r="C3176" s="46" t="s">
        <v>15</v>
      </c>
      <c r="D3176" s="46" t="s">
        <v>43</v>
      </c>
      <c r="E3176" s="46" t="s">
        <v>109</v>
      </c>
      <c r="F3176" s="46" t="s">
        <v>7347</v>
      </c>
      <c r="G3176" s="46" t="n">
        <f aca="false">+593967682376</f>
        <v>593967682376</v>
      </c>
      <c r="H3176" s="46" t="s">
        <v>7348</v>
      </c>
      <c r="I3176" s="46"/>
      <c r="J3176" s="1"/>
      <c r="K3176" s="1" t="s">
        <v>1156</v>
      </c>
      <c r="L3176" s="1"/>
      <c r="M3176" s="1"/>
      <c r="N3176" s="1"/>
      <c r="O3176" s="1"/>
      <c r="P3176" s="6"/>
      <c r="Q3176" s="1"/>
      <c r="R3176" s="1"/>
      <c r="S3176" s="1"/>
      <c r="T3176" s="1"/>
      <c r="U3176" s="1"/>
      <c r="V3176" s="1"/>
      <c r="W3176" s="1"/>
      <c r="X3176" s="1"/>
      <c r="Y3176" s="1"/>
      <c r="Z3176" s="1"/>
    </row>
    <row r="3177" customFormat="false" ht="21.75" hidden="false" customHeight="true" outlineLevel="0" collapsed="false">
      <c r="A3177" s="4" t="n">
        <v>43507</v>
      </c>
      <c r="B3177" s="46" t="s">
        <v>48</v>
      </c>
      <c r="C3177" s="46" t="s">
        <v>15</v>
      </c>
      <c r="D3177" s="46" t="s">
        <v>43</v>
      </c>
      <c r="E3177" s="46" t="s">
        <v>109</v>
      </c>
      <c r="F3177" s="46" t="s">
        <v>2906</v>
      </c>
      <c r="G3177" s="46" t="n">
        <f aca="false">+593983523516</f>
        <v>593983523516</v>
      </c>
      <c r="H3177" s="46" t="s">
        <v>7349</v>
      </c>
      <c r="I3177" s="46"/>
      <c r="J3177" s="1"/>
      <c r="K3177" s="1" t="s">
        <v>1156</v>
      </c>
      <c r="L3177" s="1"/>
      <c r="M3177" s="1"/>
      <c r="N3177" s="1"/>
      <c r="O3177" s="1"/>
      <c r="P3177" s="6"/>
      <c r="Q3177" s="1"/>
      <c r="R3177" s="1"/>
      <c r="S3177" s="1"/>
      <c r="T3177" s="1"/>
      <c r="U3177" s="1"/>
      <c r="V3177" s="1"/>
      <c r="W3177" s="1"/>
      <c r="X3177" s="1"/>
      <c r="Y3177" s="1"/>
      <c r="Z3177" s="1"/>
    </row>
    <row r="3178" customFormat="false" ht="21.75" hidden="false" customHeight="true" outlineLevel="0" collapsed="false">
      <c r="A3178" s="4" t="n">
        <v>43507</v>
      </c>
      <c r="B3178" s="46" t="s">
        <v>532</v>
      </c>
      <c r="C3178" s="46" t="s">
        <v>15</v>
      </c>
      <c r="D3178" s="46" t="s">
        <v>43</v>
      </c>
      <c r="E3178" s="46" t="s">
        <v>109</v>
      </c>
      <c r="F3178" s="46" t="s">
        <v>7350</v>
      </c>
      <c r="G3178" s="46" t="e">
        <f aca="false">+59398 463 5649</f>
        <v>#VALUE!</v>
      </c>
      <c r="H3178" s="46" t="s">
        <v>7351</v>
      </c>
      <c r="I3178" s="46"/>
      <c r="J3178" s="1"/>
      <c r="K3178" s="1"/>
      <c r="L3178" s="1"/>
      <c r="M3178" s="1"/>
      <c r="N3178" s="1"/>
      <c r="O3178" s="1"/>
      <c r="P3178" s="6"/>
      <c r="Q3178" s="1"/>
      <c r="R3178" s="1"/>
      <c r="S3178" s="1"/>
      <c r="T3178" s="1"/>
      <c r="U3178" s="1"/>
      <c r="V3178" s="1"/>
      <c r="W3178" s="1"/>
      <c r="X3178" s="1"/>
      <c r="Y3178" s="1"/>
      <c r="Z3178" s="1"/>
    </row>
    <row r="3179" customFormat="false" ht="21.75" hidden="false" customHeight="true" outlineLevel="0" collapsed="false">
      <c r="A3179" s="4" t="n">
        <v>43507</v>
      </c>
      <c r="B3179" s="46" t="s">
        <v>48</v>
      </c>
      <c r="C3179" s="46" t="s">
        <v>15</v>
      </c>
      <c r="D3179" s="46" t="s">
        <v>43</v>
      </c>
      <c r="E3179" s="46" t="s">
        <v>109</v>
      </c>
      <c r="F3179" s="46" t="s">
        <v>7352</v>
      </c>
      <c r="G3179" s="80" t="n">
        <f aca="false">+593985791292</f>
        <v>593985791292</v>
      </c>
      <c r="H3179" s="80"/>
      <c r="I3179" s="46"/>
      <c r="J3179" s="1"/>
      <c r="K3179" s="1"/>
      <c r="L3179" s="1"/>
      <c r="M3179" s="1"/>
      <c r="N3179" s="1"/>
      <c r="O3179" s="1"/>
      <c r="P3179" s="6"/>
      <c r="Q3179" s="1"/>
      <c r="R3179" s="1"/>
      <c r="S3179" s="1"/>
      <c r="T3179" s="1"/>
      <c r="U3179" s="1"/>
      <c r="V3179" s="1"/>
      <c r="W3179" s="1"/>
      <c r="X3179" s="1"/>
      <c r="Y3179" s="1"/>
      <c r="Z3179" s="1"/>
    </row>
    <row r="3180" customFormat="false" ht="21.75" hidden="false" customHeight="true" outlineLevel="0" collapsed="false">
      <c r="A3180" s="4" t="n">
        <v>43507</v>
      </c>
      <c r="B3180" s="46" t="s">
        <v>1478</v>
      </c>
      <c r="C3180" s="46" t="s">
        <v>26</v>
      </c>
      <c r="D3180" s="46" t="s">
        <v>43</v>
      </c>
      <c r="E3180" s="46" t="s">
        <v>109</v>
      </c>
      <c r="F3180" s="46" t="s">
        <v>7353</v>
      </c>
      <c r="G3180" s="46" t="n">
        <f aca="false">+593995977597</f>
        <v>593995977597</v>
      </c>
      <c r="H3180" s="46" t="s">
        <v>7354</v>
      </c>
      <c r="I3180" s="46"/>
      <c r="J3180" s="1"/>
      <c r="K3180" s="1" t="s">
        <v>1156</v>
      </c>
      <c r="L3180" s="1"/>
      <c r="M3180" s="1"/>
      <c r="N3180" s="1"/>
      <c r="O3180" s="1"/>
      <c r="P3180" s="6"/>
      <c r="Q3180" s="1"/>
      <c r="R3180" s="1"/>
      <c r="S3180" s="1"/>
      <c r="T3180" s="1"/>
      <c r="U3180" s="1"/>
      <c r="V3180" s="1"/>
      <c r="W3180" s="1"/>
      <c r="X3180" s="1"/>
      <c r="Y3180" s="1"/>
      <c r="Z3180" s="1"/>
    </row>
    <row r="3181" customFormat="false" ht="21.75" hidden="false" customHeight="true" outlineLevel="0" collapsed="false">
      <c r="A3181" s="4" t="n">
        <v>43507</v>
      </c>
      <c r="B3181" s="46" t="s">
        <v>81</v>
      </c>
      <c r="C3181" s="46" t="s">
        <v>15</v>
      </c>
      <c r="D3181" s="46" t="s">
        <v>43</v>
      </c>
      <c r="E3181" s="46" t="s">
        <v>109</v>
      </c>
      <c r="F3181" s="46" t="s">
        <v>7355</v>
      </c>
      <c r="G3181" s="46" t="n">
        <f aca="false">+5930994233409</f>
        <v>5930994233409</v>
      </c>
      <c r="H3181" s="46" t="s">
        <v>7356</v>
      </c>
      <c r="I3181" s="46"/>
      <c r="J3181" s="1"/>
      <c r="K3181" s="1" t="s">
        <v>7357</v>
      </c>
      <c r="L3181" s="1"/>
      <c r="M3181" s="1"/>
      <c r="N3181" s="1"/>
      <c r="O3181" s="1"/>
      <c r="P3181" s="6"/>
      <c r="Q3181" s="1"/>
      <c r="R3181" s="1"/>
      <c r="S3181" s="1"/>
      <c r="T3181" s="1"/>
      <c r="U3181" s="1"/>
      <c r="V3181" s="1"/>
      <c r="W3181" s="1"/>
      <c r="X3181" s="1"/>
      <c r="Y3181" s="1"/>
      <c r="Z3181" s="1"/>
    </row>
    <row r="3182" customFormat="false" ht="21.75" hidden="false" customHeight="true" outlineLevel="0" collapsed="false">
      <c r="A3182" s="4" t="n">
        <v>43507</v>
      </c>
      <c r="B3182" s="46" t="s">
        <v>1114</v>
      </c>
      <c r="C3182" s="46" t="s">
        <v>15</v>
      </c>
      <c r="D3182" s="46" t="s">
        <v>43</v>
      </c>
      <c r="E3182" s="46" t="s">
        <v>109</v>
      </c>
      <c r="F3182" s="46" t="s">
        <v>7358</v>
      </c>
      <c r="G3182" s="46" t="n">
        <f aca="false">+5930986435596</f>
        <v>5930986435596</v>
      </c>
      <c r="H3182" s="46" t="s">
        <v>7359</v>
      </c>
      <c r="I3182" s="46"/>
      <c r="J3182" s="1"/>
      <c r="K3182" s="1" t="s">
        <v>7360</v>
      </c>
      <c r="L3182" s="1"/>
      <c r="M3182" s="1"/>
      <c r="N3182" s="1"/>
      <c r="O3182" s="1"/>
      <c r="P3182" s="6"/>
      <c r="Q3182" s="1"/>
      <c r="R3182" s="1"/>
      <c r="S3182" s="1"/>
      <c r="T3182" s="1"/>
      <c r="U3182" s="1"/>
      <c r="V3182" s="1"/>
      <c r="W3182" s="1"/>
      <c r="X3182" s="1"/>
      <c r="Y3182" s="1"/>
      <c r="Z3182" s="1"/>
    </row>
    <row r="3183" customFormat="false" ht="21.75" hidden="false" customHeight="true" outlineLevel="0" collapsed="false">
      <c r="A3183" s="4" t="n">
        <v>43507</v>
      </c>
      <c r="B3183" s="46" t="s">
        <v>1106</v>
      </c>
      <c r="C3183" s="46" t="s">
        <v>15</v>
      </c>
      <c r="D3183" s="46" t="s">
        <v>43</v>
      </c>
      <c r="E3183" s="46" t="s">
        <v>109</v>
      </c>
      <c r="F3183" s="46" t="s">
        <v>7361</v>
      </c>
      <c r="G3183" s="46" t="n">
        <f aca="false">+593983127343</f>
        <v>593983127343</v>
      </c>
      <c r="H3183" s="46" t="s">
        <v>7362</v>
      </c>
      <c r="I3183" s="46"/>
      <c r="J3183" s="1"/>
      <c r="K3183" s="1" t="s">
        <v>1156</v>
      </c>
      <c r="L3183" s="1"/>
      <c r="M3183" s="1"/>
      <c r="N3183" s="1"/>
      <c r="O3183" s="1"/>
      <c r="P3183" s="6"/>
      <c r="Q3183" s="1"/>
      <c r="R3183" s="1"/>
      <c r="S3183" s="1"/>
      <c r="T3183" s="1"/>
      <c r="U3183" s="1"/>
      <c r="V3183" s="1"/>
      <c r="W3183" s="1"/>
      <c r="X3183" s="1"/>
      <c r="Y3183" s="1"/>
      <c r="Z3183" s="1"/>
    </row>
    <row r="3184" customFormat="false" ht="21.75" hidden="false" customHeight="true" outlineLevel="0" collapsed="false">
      <c r="A3184" s="4" t="n">
        <v>43507</v>
      </c>
      <c r="B3184" s="46" t="s">
        <v>352</v>
      </c>
      <c r="C3184" s="46" t="s">
        <v>15</v>
      </c>
      <c r="D3184" s="46" t="s">
        <v>43</v>
      </c>
      <c r="E3184" s="46" t="s">
        <v>109</v>
      </c>
      <c r="F3184" s="46" t="s">
        <v>7363</v>
      </c>
      <c r="G3184" s="46" t="n">
        <f aca="false">+593960217365</f>
        <v>593960217365</v>
      </c>
      <c r="H3184" s="46" t="s">
        <v>7364</v>
      </c>
      <c r="I3184" s="46"/>
      <c r="J3184" s="1"/>
      <c r="K3184" s="1" t="s">
        <v>1166</v>
      </c>
      <c r="L3184" s="1"/>
      <c r="M3184" s="1"/>
      <c r="N3184" s="1"/>
      <c r="O3184" s="1"/>
      <c r="P3184" s="6"/>
      <c r="Q3184" s="1"/>
      <c r="R3184" s="1"/>
      <c r="S3184" s="1"/>
      <c r="T3184" s="1"/>
      <c r="U3184" s="1"/>
      <c r="V3184" s="1"/>
      <c r="W3184" s="1"/>
      <c r="X3184" s="1"/>
      <c r="Y3184" s="1"/>
      <c r="Z3184" s="1"/>
    </row>
    <row r="3185" customFormat="false" ht="21.75" hidden="false" customHeight="true" outlineLevel="0" collapsed="false">
      <c r="A3185" s="4" t="n">
        <v>43507</v>
      </c>
      <c r="B3185" s="46" t="s">
        <v>178</v>
      </c>
      <c r="C3185" s="46" t="s">
        <v>15</v>
      </c>
      <c r="D3185" s="46" t="s">
        <v>43</v>
      </c>
      <c r="E3185" s="46" t="s">
        <v>109</v>
      </c>
      <c r="F3185" s="46" t="s">
        <v>7365</v>
      </c>
      <c r="G3185" s="46" t="n">
        <f aca="false">+593988317324</f>
        <v>593988317324</v>
      </c>
      <c r="H3185" s="46" t="s">
        <v>7366</v>
      </c>
      <c r="I3185" s="46"/>
      <c r="J3185" s="1"/>
      <c r="K3185" s="1" t="s">
        <v>7367</v>
      </c>
      <c r="L3185" s="1"/>
      <c r="M3185" s="1"/>
      <c r="N3185" s="1"/>
      <c r="O3185" s="1"/>
      <c r="P3185" s="6"/>
      <c r="Q3185" s="1"/>
      <c r="R3185" s="1"/>
      <c r="S3185" s="1"/>
      <c r="T3185" s="1"/>
      <c r="U3185" s="1"/>
      <c r="V3185" s="1"/>
      <c r="W3185" s="1"/>
      <c r="X3185" s="1"/>
      <c r="Y3185" s="1"/>
      <c r="Z3185" s="1"/>
    </row>
    <row r="3186" customFormat="false" ht="21.75" hidden="false" customHeight="true" outlineLevel="0" collapsed="false">
      <c r="A3186" s="4" t="n">
        <v>43507</v>
      </c>
      <c r="B3186" s="46" t="s">
        <v>1831</v>
      </c>
      <c r="C3186" s="46" t="s">
        <v>15</v>
      </c>
      <c r="D3186" s="46" t="s">
        <v>43</v>
      </c>
      <c r="E3186" s="46" t="s">
        <v>109</v>
      </c>
      <c r="F3186" s="46" t="s">
        <v>7368</v>
      </c>
      <c r="G3186" s="46" t="n">
        <f aca="false">+593996224172</f>
        <v>593996224172</v>
      </c>
      <c r="H3186" s="46" t="s">
        <v>7369</v>
      </c>
      <c r="I3186" s="46"/>
      <c r="J3186" s="1"/>
      <c r="K3186" s="1" t="s">
        <v>1156</v>
      </c>
      <c r="L3186" s="1"/>
      <c r="M3186" s="1"/>
      <c r="N3186" s="1"/>
      <c r="O3186" s="1"/>
      <c r="P3186" s="6"/>
      <c r="Q3186" s="1"/>
      <c r="R3186" s="1"/>
      <c r="S3186" s="1"/>
      <c r="T3186" s="1"/>
      <c r="U3186" s="1"/>
      <c r="V3186" s="1"/>
      <c r="W3186" s="1"/>
      <c r="X3186" s="1"/>
      <c r="Y3186" s="1"/>
      <c r="Z3186" s="1"/>
    </row>
    <row r="3187" customFormat="false" ht="21.75" hidden="false" customHeight="true" outlineLevel="0" collapsed="false">
      <c r="A3187" s="4" t="n">
        <v>43507</v>
      </c>
      <c r="B3187" s="46" t="s">
        <v>1106</v>
      </c>
      <c r="C3187" s="46" t="s">
        <v>15</v>
      </c>
      <c r="D3187" s="46" t="s">
        <v>43</v>
      </c>
      <c r="E3187" s="46" t="s">
        <v>109</v>
      </c>
      <c r="F3187" s="46" t="s">
        <v>7370</v>
      </c>
      <c r="G3187" s="46" t="n">
        <f aca="false">+5930999558725</f>
        <v>5930999558725</v>
      </c>
      <c r="H3187" s="46" t="s">
        <v>7371</v>
      </c>
      <c r="I3187" s="46"/>
      <c r="J3187" s="1"/>
      <c r="K3187" s="1" t="s">
        <v>7372</v>
      </c>
      <c r="L3187" s="1"/>
      <c r="M3187" s="1"/>
      <c r="N3187" s="1"/>
      <c r="O3187" s="1"/>
      <c r="P3187" s="6"/>
      <c r="Q3187" s="1"/>
      <c r="R3187" s="1"/>
      <c r="S3187" s="1"/>
      <c r="T3187" s="1"/>
      <c r="U3187" s="1"/>
      <c r="V3187" s="1"/>
      <c r="W3187" s="1"/>
      <c r="X3187" s="1"/>
      <c r="Y3187" s="1"/>
      <c r="Z3187" s="1"/>
    </row>
    <row r="3188" customFormat="false" ht="21.75" hidden="false" customHeight="true" outlineLevel="0" collapsed="false">
      <c r="A3188" s="4" t="n">
        <v>43507</v>
      </c>
      <c r="B3188" s="46" t="s">
        <v>1106</v>
      </c>
      <c r="C3188" s="46" t="s">
        <v>15</v>
      </c>
      <c r="D3188" s="46" t="s">
        <v>43</v>
      </c>
      <c r="E3188" s="46" t="s">
        <v>109</v>
      </c>
      <c r="F3188" s="46" t="s">
        <v>7373</v>
      </c>
      <c r="G3188" s="46" t="n">
        <f aca="false">+593993143562</f>
        <v>593993143562</v>
      </c>
      <c r="H3188" s="46" t="s">
        <v>7374</v>
      </c>
      <c r="I3188" s="46"/>
      <c r="J3188" s="1"/>
      <c r="K3188" s="1" t="s">
        <v>6455</v>
      </c>
      <c r="L3188" s="1"/>
      <c r="M3188" s="1"/>
      <c r="N3188" s="1"/>
      <c r="O3188" s="1"/>
      <c r="P3188" s="6"/>
      <c r="Q3188" s="1"/>
      <c r="R3188" s="1"/>
      <c r="S3188" s="1"/>
      <c r="T3188" s="1"/>
      <c r="U3188" s="1"/>
      <c r="V3188" s="1"/>
      <c r="W3188" s="1"/>
      <c r="X3188" s="1"/>
      <c r="Y3188" s="1"/>
      <c r="Z3188" s="1"/>
    </row>
    <row r="3189" customFormat="false" ht="21.75" hidden="false" customHeight="true" outlineLevel="0" collapsed="false">
      <c r="A3189" s="4" t="n">
        <v>43507</v>
      </c>
      <c r="B3189" s="46" t="s">
        <v>415</v>
      </c>
      <c r="C3189" s="46" t="s">
        <v>15</v>
      </c>
      <c r="D3189" s="46" t="s">
        <v>43</v>
      </c>
      <c r="E3189" s="46" t="s">
        <v>109</v>
      </c>
      <c r="F3189" s="46" t="s">
        <v>7375</v>
      </c>
      <c r="G3189" s="46" t="n">
        <f aca="false">+593990470032</f>
        <v>593990470032</v>
      </c>
      <c r="H3189" s="46" t="s">
        <v>7376</v>
      </c>
      <c r="I3189" s="46"/>
      <c r="J3189" s="1"/>
      <c r="K3189" s="1" t="s">
        <v>7377</v>
      </c>
      <c r="L3189" s="1"/>
      <c r="M3189" s="1"/>
      <c r="N3189" s="1"/>
      <c r="O3189" s="1"/>
      <c r="P3189" s="6"/>
      <c r="Q3189" s="1"/>
      <c r="R3189" s="1"/>
      <c r="S3189" s="1"/>
      <c r="T3189" s="1"/>
      <c r="U3189" s="1"/>
      <c r="V3189" s="1"/>
      <c r="W3189" s="1"/>
      <c r="X3189" s="1"/>
      <c r="Y3189" s="1"/>
      <c r="Z3189" s="1"/>
    </row>
    <row r="3190" customFormat="false" ht="21.75" hidden="false" customHeight="true" outlineLevel="0" collapsed="false">
      <c r="A3190" s="4" t="n">
        <v>43507</v>
      </c>
      <c r="B3190" s="46" t="s">
        <v>1114</v>
      </c>
      <c r="C3190" s="46" t="s">
        <v>15</v>
      </c>
      <c r="D3190" s="46" t="s">
        <v>43</v>
      </c>
      <c r="E3190" s="46" t="s">
        <v>109</v>
      </c>
      <c r="F3190" s="46" t="s">
        <v>7378</v>
      </c>
      <c r="G3190" s="46" t="n">
        <f aca="false">+593992757918</f>
        <v>593992757918</v>
      </c>
      <c r="H3190" s="46" t="s">
        <v>7379</v>
      </c>
      <c r="I3190" s="46"/>
      <c r="J3190" s="1"/>
      <c r="K3190" s="1" t="s">
        <v>1156</v>
      </c>
      <c r="L3190" s="1"/>
      <c r="M3190" s="1"/>
      <c r="N3190" s="1"/>
      <c r="O3190" s="1"/>
      <c r="P3190" s="6"/>
      <c r="Q3190" s="1"/>
      <c r="R3190" s="1"/>
      <c r="S3190" s="1"/>
      <c r="T3190" s="1"/>
      <c r="U3190" s="1"/>
      <c r="V3190" s="1"/>
      <c r="W3190" s="1"/>
      <c r="X3190" s="1"/>
      <c r="Y3190" s="1"/>
      <c r="Z3190" s="1"/>
    </row>
    <row r="3191" customFormat="false" ht="21.75" hidden="false" customHeight="true" outlineLevel="0" collapsed="false">
      <c r="A3191" s="4" t="n">
        <v>43507</v>
      </c>
      <c r="B3191" s="46" t="s">
        <v>352</v>
      </c>
      <c r="C3191" s="46" t="s">
        <v>15</v>
      </c>
      <c r="D3191" s="46" t="s">
        <v>43</v>
      </c>
      <c r="E3191" s="46" t="s">
        <v>883</v>
      </c>
      <c r="F3191" s="46" t="s">
        <v>7380</v>
      </c>
      <c r="G3191" s="46" t="n">
        <f aca="false">+5930988631274</f>
        <v>5930988631274</v>
      </c>
      <c r="H3191" s="46" t="s">
        <v>7381</v>
      </c>
      <c r="I3191" s="46"/>
      <c r="J3191" s="1"/>
      <c r="K3191" s="1" t="s">
        <v>6643</v>
      </c>
      <c r="L3191" s="1"/>
      <c r="M3191" s="1"/>
      <c r="N3191" s="1"/>
      <c r="O3191" s="1"/>
      <c r="P3191" s="6"/>
      <c r="Q3191" s="1"/>
      <c r="R3191" s="1"/>
      <c r="S3191" s="1"/>
      <c r="T3191" s="1"/>
      <c r="U3191" s="1"/>
      <c r="V3191" s="1"/>
      <c r="W3191" s="1"/>
      <c r="X3191" s="1"/>
      <c r="Y3191" s="1"/>
      <c r="Z3191" s="1"/>
    </row>
    <row r="3192" customFormat="false" ht="21.75" hidden="false" customHeight="true" outlineLevel="0" collapsed="false">
      <c r="A3192" s="4" t="n">
        <v>43507</v>
      </c>
      <c r="B3192" s="46" t="s">
        <v>48</v>
      </c>
      <c r="C3192" s="46" t="s">
        <v>15</v>
      </c>
      <c r="D3192" s="46" t="s">
        <v>43</v>
      </c>
      <c r="E3192" s="46" t="s">
        <v>883</v>
      </c>
      <c r="F3192" s="46" t="s">
        <v>7382</v>
      </c>
      <c r="G3192" s="46" t="n">
        <f aca="false">+593991039939</f>
        <v>593991039939</v>
      </c>
      <c r="H3192" s="46" t="s">
        <v>7383</v>
      </c>
      <c r="I3192" s="46"/>
      <c r="J3192" s="1"/>
      <c r="K3192" s="1" t="s">
        <v>1156</v>
      </c>
      <c r="L3192" s="1"/>
      <c r="M3192" s="1"/>
      <c r="N3192" s="1"/>
      <c r="O3192" s="1"/>
      <c r="P3192" s="6"/>
      <c r="Q3192" s="1"/>
      <c r="R3192" s="1"/>
      <c r="S3192" s="1"/>
      <c r="T3192" s="1"/>
      <c r="U3192" s="1"/>
      <c r="V3192" s="1"/>
      <c r="W3192" s="1"/>
      <c r="X3192" s="1"/>
      <c r="Y3192" s="1"/>
      <c r="Z3192" s="1"/>
    </row>
    <row r="3193" customFormat="false" ht="21.75" hidden="false" customHeight="true" outlineLevel="0" collapsed="false">
      <c r="A3193" s="4" t="n">
        <v>43507</v>
      </c>
      <c r="B3193" s="46" t="s">
        <v>1114</v>
      </c>
      <c r="C3193" s="46" t="s">
        <v>15</v>
      </c>
      <c r="D3193" s="46" t="s">
        <v>43</v>
      </c>
      <c r="E3193" s="46" t="s">
        <v>883</v>
      </c>
      <c r="F3193" s="46" t="s">
        <v>7384</v>
      </c>
      <c r="G3193" s="46" t="n">
        <f aca="false">+593992552919</f>
        <v>593992552919</v>
      </c>
      <c r="H3193" s="46" t="s">
        <v>7385</v>
      </c>
      <c r="I3193" s="46"/>
      <c r="J3193" s="1"/>
      <c r="K3193" s="1" t="s">
        <v>1156</v>
      </c>
      <c r="L3193" s="1"/>
      <c r="M3193" s="1"/>
      <c r="N3193" s="1"/>
      <c r="O3193" s="1"/>
      <c r="P3193" s="6"/>
      <c r="Q3193" s="1"/>
      <c r="R3193" s="1"/>
      <c r="S3193" s="1"/>
      <c r="T3193" s="1"/>
      <c r="U3193" s="1"/>
      <c r="V3193" s="1"/>
      <c r="W3193" s="1"/>
      <c r="X3193" s="1"/>
      <c r="Y3193" s="1"/>
      <c r="Z3193" s="1"/>
    </row>
    <row r="3194" customFormat="false" ht="21.75" hidden="false" customHeight="true" outlineLevel="0" collapsed="false">
      <c r="A3194" s="4" t="n">
        <v>43507</v>
      </c>
      <c r="B3194" s="46" t="s">
        <v>415</v>
      </c>
      <c r="C3194" s="46" t="s">
        <v>15</v>
      </c>
      <c r="D3194" s="46" t="s">
        <v>43</v>
      </c>
      <c r="E3194" s="46" t="s">
        <v>883</v>
      </c>
      <c r="F3194" s="46" t="s">
        <v>7386</v>
      </c>
      <c r="G3194" s="46" t="n">
        <f aca="false">+593967215612</f>
        <v>593967215612</v>
      </c>
      <c r="H3194" s="46" t="s">
        <v>7387</v>
      </c>
      <c r="I3194" s="46"/>
      <c r="J3194" s="1"/>
      <c r="K3194" s="1" t="s">
        <v>7388</v>
      </c>
      <c r="L3194" s="1"/>
      <c r="M3194" s="1"/>
      <c r="N3194" s="1"/>
      <c r="O3194" s="1"/>
      <c r="P3194" s="6"/>
      <c r="Q3194" s="1"/>
      <c r="R3194" s="1"/>
      <c r="S3194" s="1"/>
      <c r="T3194" s="1"/>
      <c r="U3194" s="1"/>
      <c r="V3194" s="1"/>
      <c r="W3194" s="1"/>
      <c r="X3194" s="1"/>
      <c r="Y3194" s="1"/>
      <c r="Z3194" s="1"/>
    </row>
    <row r="3195" customFormat="false" ht="21.75" hidden="false" customHeight="true" outlineLevel="0" collapsed="false">
      <c r="A3195" s="4" t="n">
        <v>43507</v>
      </c>
      <c r="B3195" s="46" t="s">
        <v>1114</v>
      </c>
      <c r="C3195" s="46" t="s">
        <v>15</v>
      </c>
      <c r="D3195" s="46" t="s">
        <v>43</v>
      </c>
      <c r="E3195" s="46" t="s">
        <v>883</v>
      </c>
      <c r="F3195" s="46" t="s">
        <v>7389</v>
      </c>
      <c r="G3195" s="46" t="n">
        <f aca="false">+593939329615</f>
        <v>593939329615</v>
      </c>
      <c r="H3195" s="46" t="s">
        <v>7390</v>
      </c>
      <c r="I3195" s="46"/>
      <c r="J3195" s="1"/>
      <c r="K3195" s="1" t="s">
        <v>1156</v>
      </c>
      <c r="L3195" s="1"/>
      <c r="M3195" s="1"/>
      <c r="N3195" s="1"/>
      <c r="O3195" s="1"/>
      <c r="P3195" s="6"/>
      <c r="Q3195" s="1"/>
      <c r="R3195" s="1"/>
      <c r="S3195" s="1"/>
      <c r="T3195" s="1"/>
      <c r="U3195" s="1"/>
      <c r="V3195" s="1"/>
      <c r="W3195" s="1"/>
      <c r="X3195" s="1"/>
      <c r="Y3195" s="1"/>
      <c r="Z3195" s="1"/>
    </row>
    <row r="3196" customFormat="false" ht="21.75" hidden="false" customHeight="true" outlineLevel="0" collapsed="false">
      <c r="A3196" s="4" t="n">
        <v>43507</v>
      </c>
      <c r="B3196" s="46" t="s">
        <v>48</v>
      </c>
      <c r="C3196" s="46" t="s">
        <v>15</v>
      </c>
      <c r="D3196" s="46" t="s">
        <v>43</v>
      </c>
      <c r="E3196" s="46" t="s">
        <v>883</v>
      </c>
      <c r="F3196" s="46" t="s">
        <v>7391</v>
      </c>
      <c r="G3196" s="46" t="n">
        <f aca="false">+593959128588</f>
        <v>593959128588</v>
      </c>
      <c r="H3196" s="46" t="s">
        <v>7392</v>
      </c>
      <c r="I3196" s="46"/>
      <c r="J3196" s="1"/>
      <c r="K3196" s="1" t="s">
        <v>1156</v>
      </c>
      <c r="L3196" s="1"/>
      <c r="M3196" s="1"/>
      <c r="N3196" s="1"/>
      <c r="O3196" s="1"/>
      <c r="P3196" s="6"/>
      <c r="Q3196" s="1"/>
      <c r="R3196" s="1"/>
      <c r="S3196" s="1"/>
      <c r="T3196" s="1"/>
      <c r="U3196" s="1"/>
      <c r="V3196" s="1"/>
      <c r="W3196" s="1"/>
      <c r="X3196" s="1"/>
      <c r="Y3196" s="1"/>
      <c r="Z3196" s="1"/>
    </row>
    <row r="3197" customFormat="false" ht="21.75" hidden="false" customHeight="true" outlineLevel="0" collapsed="false">
      <c r="A3197" s="4" t="n">
        <v>43507</v>
      </c>
      <c r="B3197" s="46" t="s">
        <v>127</v>
      </c>
      <c r="C3197" s="46" t="s">
        <v>15</v>
      </c>
      <c r="D3197" s="46" t="s">
        <v>43</v>
      </c>
      <c r="E3197" s="46" t="s">
        <v>883</v>
      </c>
      <c r="F3197" s="46" t="s">
        <v>7393</v>
      </c>
      <c r="G3197" s="46" t="n">
        <f aca="false">+593961129399</f>
        <v>593961129399</v>
      </c>
      <c r="H3197" s="46" t="s">
        <v>7394</v>
      </c>
      <c r="I3197" s="46"/>
      <c r="J3197" s="1"/>
      <c r="K3197" s="1" t="s">
        <v>7395</v>
      </c>
      <c r="L3197" s="1"/>
      <c r="M3197" s="1"/>
      <c r="N3197" s="1"/>
      <c r="O3197" s="1"/>
      <c r="P3197" s="6"/>
      <c r="Q3197" s="1"/>
      <c r="R3197" s="1"/>
      <c r="S3197" s="1"/>
      <c r="T3197" s="1"/>
      <c r="U3197" s="1"/>
      <c r="V3197" s="1"/>
      <c r="W3197" s="1"/>
      <c r="X3197" s="1"/>
      <c r="Y3197" s="1"/>
      <c r="Z3197" s="1"/>
    </row>
    <row r="3198" customFormat="false" ht="21.75" hidden="false" customHeight="true" outlineLevel="0" collapsed="false">
      <c r="A3198" s="4" t="n">
        <v>43507</v>
      </c>
      <c r="B3198" s="46" t="s">
        <v>352</v>
      </c>
      <c r="C3198" s="46" t="s">
        <v>15</v>
      </c>
      <c r="D3198" s="46" t="s">
        <v>43</v>
      </c>
      <c r="E3198" s="46" t="s">
        <v>883</v>
      </c>
      <c r="F3198" s="46" t="s">
        <v>7396</v>
      </c>
      <c r="G3198" s="46" t="n">
        <f aca="false">+5930992823101</f>
        <v>5930992823101</v>
      </c>
      <c r="H3198" s="46" t="s">
        <v>7397</v>
      </c>
      <c r="I3198" s="46"/>
      <c r="J3198" s="1"/>
      <c r="K3198" s="1" t="s">
        <v>1156</v>
      </c>
      <c r="L3198" s="1"/>
      <c r="M3198" s="1"/>
      <c r="N3198" s="1"/>
      <c r="O3198" s="1"/>
      <c r="P3198" s="6"/>
      <c r="Q3198" s="1"/>
      <c r="R3198" s="1"/>
      <c r="S3198" s="1"/>
      <c r="T3198" s="1"/>
      <c r="U3198" s="1"/>
      <c r="V3198" s="1"/>
      <c r="W3198" s="1"/>
      <c r="X3198" s="1"/>
      <c r="Y3198" s="1"/>
      <c r="Z3198" s="1"/>
    </row>
    <row r="3199" customFormat="false" ht="21.75" hidden="false" customHeight="true" outlineLevel="0" collapsed="false">
      <c r="A3199" s="4" t="n">
        <v>43507</v>
      </c>
      <c r="B3199" s="46" t="s">
        <v>352</v>
      </c>
      <c r="C3199" s="46" t="s">
        <v>15</v>
      </c>
      <c r="D3199" s="46" t="s">
        <v>43</v>
      </c>
      <c r="E3199" s="46" t="s">
        <v>883</v>
      </c>
      <c r="F3199" s="46" t="s">
        <v>7398</v>
      </c>
      <c r="G3199" s="46" t="n">
        <f aca="false">+5930998660841</f>
        <v>5930998660841</v>
      </c>
      <c r="H3199" s="46" t="s">
        <v>7399</v>
      </c>
      <c r="I3199" s="46"/>
      <c r="J3199" s="1"/>
      <c r="K3199" s="1" t="s">
        <v>1156</v>
      </c>
      <c r="L3199" s="1"/>
      <c r="M3199" s="1"/>
      <c r="N3199" s="1"/>
      <c r="O3199" s="1"/>
      <c r="P3199" s="6"/>
      <c r="Q3199" s="1"/>
      <c r="R3199" s="1"/>
      <c r="S3199" s="1"/>
      <c r="T3199" s="1"/>
      <c r="U3199" s="1"/>
      <c r="V3199" s="1"/>
      <c r="W3199" s="1"/>
      <c r="X3199" s="1"/>
      <c r="Y3199" s="1"/>
      <c r="Z3199" s="1"/>
    </row>
    <row r="3200" customFormat="false" ht="21.75" hidden="false" customHeight="true" outlineLevel="0" collapsed="false">
      <c r="A3200" s="4" t="n">
        <v>43507</v>
      </c>
      <c r="B3200" s="46" t="s">
        <v>352</v>
      </c>
      <c r="C3200" s="46" t="s">
        <v>26</v>
      </c>
      <c r="D3200" s="46" t="s">
        <v>43</v>
      </c>
      <c r="E3200" s="46" t="s">
        <v>883</v>
      </c>
      <c r="F3200" s="46" t="s">
        <v>5510</v>
      </c>
      <c r="G3200" s="46" t="n">
        <f aca="false">+593991382950</f>
        <v>593991382950</v>
      </c>
      <c r="H3200" s="46" t="s">
        <v>5511</v>
      </c>
      <c r="I3200" s="46"/>
      <c r="J3200" s="1"/>
      <c r="K3200" s="1" t="s">
        <v>1156</v>
      </c>
      <c r="L3200" s="1"/>
      <c r="M3200" s="1"/>
      <c r="N3200" s="1"/>
      <c r="O3200" s="1"/>
      <c r="P3200" s="6"/>
      <c r="Q3200" s="1"/>
      <c r="R3200" s="1"/>
      <c r="S3200" s="1"/>
      <c r="T3200" s="1"/>
      <c r="U3200" s="1"/>
      <c r="V3200" s="1"/>
      <c r="W3200" s="1"/>
      <c r="X3200" s="1"/>
      <c r="Y3200" s="1"/>
      <c r="Z3200" s="1"/>
    </row>
    <row r="3201" customFormat="false" ht="21.75" hidden="false" customHeight="true" outlineLevel="0" collapsed="false">
      <c r="A3201" s="4" t="n">
        <v>43507</v>
      </c>
      <c r="B3201" s="46" t="s">
        <v>127</v>
      </c>
      <c r="C3201" s="46" t="s">
        <v>15</v>
      </c>
      <c r="D3201" s="46" t="s">
        <v>43</v>
      </c>
      <c r="E3201" s="46" t="s">
        <v>883</v>
      </c>
      <c r="F3201" s="46" t="s">
        <v>7400</v>
      </c>
      <c r="G3201" s="46" t="n">
        <f aca="false">+593991076663</f>
        <v>593991076663</v>
      </c>
      <c r="H3201" s="46" t="s">
        <v>7401</v>
      </c>
      <c r="I3201" s="46"/>
      <c r="J3201" s="1"/>
      <c r="K3201" s="1" t="s">
        <v>1156</v>
      </c>
      <c r="L3201" s="1"/>
      <c r="M3201" s="1"/>
      <c r="N3201" s="1"/>
      <c r="O3201" s="1"/>
      <c r="P3201" s="6"/>
      <c r="Q3201" s="1"/>
      <c r="R3201" s="1"/>
      <c r="S3201" s="1"/>
      <c r="T3201" s="1"/>
      <c r="U3201" s="1"/>
      <c r="V3201" s="1"/>
      <c r="W3201" s="1"/>
      <c r="X3201" s="1"/>
      <c r="Y3201" s="1"/>
      <c r="Z3201" s="1"/>
    </row>
    <row r="3202" customFormat="false" ht="21.75" hidden="false" customHeight="true" outlineLevel="0" collapsed="false">
      <c r="A3202" s="4" t="n">
        <v>43507</v>
      </c>
      <c r="B3202" s="46" t="s">
        <v>48</v>
      </c>
      <c r="C3202" s="46" t="s">
        <v>15</v>
      </c>
      <c r="D3202" s="46" t="s">
        <v>43</v>
      </c>
      <c r="E3202" s="46" t="s">
        <v>883</v>
      </c>
      <c r="F3202" s="46" t="s">
        <v>7402</v>
      </c>
      <c r="G3202" s="46" t="n">
        <f aca="false">+5930999842398</f>
        <v>5930999842398</v>
      </c>
      <c r="H3202" s="46" t="s">
        <v>7403</v>
      </c>
      <c r="I3202" s="46"/>
      <c r="J3202" s="1"/>
      <c r="K3202" s="1" t="s">
        <v>1156</v>
      </c>
      <c r="L3202" s="1"/>
      <c r="M3202" s="1"/>
      <c r="N3202" s="1"/>
      <c r="O3202" s="1"/>
      <c r="P3202" s="6"/>
      <c r="Q3202" s="1"/>
      <c r="R3202" s="1"/>
      <c r="S3202" s="1"/>
      <c r="T3202" s="1"/>
      <c r="U3202" s="1"/>
      <c r="V3202" s="1"/>
      <c r="W3202" s="1"/>
      <c r="X3202" s="1"/>
      <c r="Y3202" s="1"/>
      <c r="Z3202" s="1"/>
    </row>
    <row r="3203" customFormat="false" ht="21.75" hidden="false" customHeight="true" outlineLevel="0" collapsed="false">
      <c r="A3203" s="4" t="n">
        <v>43507</v>
      </c>
      <c r="B3203" s="46" t="s">
        <v>352</v>
      </c>
      <c r="C3203" s="46" t="s">
        <v>15</v>
      </c>
      <c r="D3203" s="46" t="s">
        <v>43</v>
      </c>
      <c r="E3203" s="46" t="s">
        <v>883</v>
      </c>
      <c r="F3203" s="46" t="s">
        <v>7404</v>
      </c>
      <c r="G3203" s="46" t="n">
        <f aca="false">+593978813417</f>
        <v>593978813417</v>
      </c>
      <c r="H3203" s="46" t="s">
        <v>7405</v>
      </c>
      <c r="I3203" s="46"/>
      <c r="J3203" s="1"/>
      <c r="K3203" s="1" t="s">
        <v>7406</v>
      </c>
      <c r="L3203" s="1"/>
      <c r="M3203" s="1"/>
      <c r="N3203" s="1"/>
      <c r="O3203" s="1"/>
      <c r="P3203" s="6"/>
      <c r="Q3203" s="1"/>
      <c r="R3203" s="1"/>
      <c r="S3203" s="1"/>
      <c r="T3203" s="1"/>
      <c r="U3203" s="1"/>
      <c r="V3203" s="1"/>
      <c r="W3203" s="1"/>
      <c r="X3203" s="1"/>
      <c r="Y3203" s="1"/>
      <c r="Z3203" s="1"/>
    </row>
    <row r="3204" customFormat="false" ht="21.75" hidden="false" customHeight="true" outlineLevel="0" collapsed="false">
      <c r="A3204" s="4" t="n">
        <v>43507</v>
      </c>
      <c r="B3204" s="46" t="s">
        <v>352</v>
      </c>
      <c r="C3204" s="46" t="s">
        <v>15</v>
      </c>
      <c r="D3204" s="46" t="s">
        <v>43</v>
      </c>
      <c r="E3204" s="46" t="s">
        <v>883</v>
      </c>
      <c r="F3204" s="46" t="s">
        <v>7407</v>
      </c>
      <c r="G3204" s="46" t="n">
        <f aca="false">+593994989200</f>
        <v>593994989200</v>
      </c>
      <c r="H3204" s="46" t="s">
        <v>7408</v>
      </c>
      <c r="I3204" s="46"/>
      <c r="J3204" s="1"/>
      <c r="K3204" s="1" t="s">
        <v>1156</v>
      </c>
      <c r="L3204" s="1"/>
      <c r="M3204" s="1"/>
      <c r="N3204" s="1"/>
      <c r="O3204" s="1"/>
      <c r="P3204" s="6"/>
      <c r="Q3204" s="1"/>
      <c r="R3204" s="1"/>
      <c r="S3204" s="1"/>
      <c r="T3204" s="1"/>
      <c r="U3204" s="1"/>
      <c r="V3204" s="1"/>
      <c r="W3204" s="1"/>
      <c r="X3204" s="1"/>
      <c r="Y3204" s="1"/>
      <c r="Z3204" s="1"/>
    </row>
    <row r="3205" customFormat="false" ht="21.75" hidden="false" customHeight="true" outlineLevel="0" collapsed="false">
      <c r="A3205" s="4" t="n">
        <v>43507</v>
      </c>
      <c r="B3205" s="46" t="s">
        <v>48</v>
      </c>
      <c r="C3205" s="46" t="s">
        <v>15</v>
      </c>
      <c r="D3205" s="46" t="s">
        <v>43</v>
      </c>
      <c r="E3205" s="46" t="s">
        <v>883</v>
      </c>
      <c r="F3205" s="46" t="s">
        <v>7409</v>
      </c>
      <c r="G3205" s="46" t="n">
        <f aca="false">+593979803106</f>
        <v>593979803106</v>
      </c>
      <c r="H3205" s="46" t="s">
        <v>7410</v>
      </c>
      <c r="I3205" s="46"/>
      <c r="J3205" s="1"/>
      <c r="K3205" s="1" t="s">
        <v>7411</v>
      </c>
      <c r="L3205" s="1"/>
      <c r="M3205" s="1"/>
      <c r="N3205" s="1"/>
      <c r="O3205" s="1"/>
      <c r="P3205" s="6"/>
      <c r="Q3205" s="1"/>
      <c r="R3205" s="1"/>
      <c r="S3205" s="1"/>
      <c r="T3205" s="1"/>
      <c r="U3205" s="1"/>
      <c r="V3205" s="1"/>
      <c r="W3205" s="1"/>
      <c r="X3205" s="1"/>
      <c r="Y3205" s="1"/>
      <c r="Z3205" s="1"/>
    </row>
    <row r="3206" customFormat="false" ht="21.75" hidden="false" customHeight="true" outlineLevel="0" collapsed="false">
      <c r="A3206" s="4" t="n">
        <v>43507</v>
      </c>
      <c r="B3206" s="46" t="s">
        <v>127</v>
      </c>
      <c r="C3206" s="46" t="s">
        <v>26</v>
      </c>
      <c r="D3206" s="46" t="s">
        <v>43</v>
      </c>
      <c r="E3206" s="46" t="s">
        <v>883</v>
      </c>
      <c r="F3206" s="46" t="s">
        <v>7412</v>
      </c>
      <c r="G3206" s="46" t="n">
        <f aca="false">+593993167548</f>
        <v>593993167548</v>
      </c>
      <c r="H3206" s="46" t="s">
        <v>7413</v>
      </c>
      <c r="I3206" s="46"/>
      <c r="J3206" s="1"/>
      <c r="K3206" s="1" t="s">
        <v>7414</v>
      </c>
      <c r="L3206" s="1"/>
      <c r="M3206" s="1"/>
      <c r="N3206" s="1"/>
      <c r="O3206" s="1"/>
      <c r="P3206" s="6"/>
      <c r="Q3206" s="1"/>
      <c r="R3206" s="1"/>
      <c r="S3206" s="1"/>
      <c r="T3206" s="1"/>
      <c r="U3206" s="1"/>
      <c r="V3206" s="1"/>
      <c r="W3206" s="1"/>
      <c r="X3206" s="1"/>
      <c r="Y3206" s="1"/>
      <c r="Z3206" s="1"/>
    </row>
    <row r="3207" customFormat="false" ht="21.75" hidden="false" customHeight="true" outlineLevel="0" collapsed="false">
      <c r="A3207" s="4" t="n">
        <v>43507</v>
      </c>
      <c r="B3207" s="46" t="s">
        <v>352</v>
      </c>
      <c r="C3207" s="46" t="s">
        <v>15</v>
      </c>
      <c r="D3207" s="46" t="s">
        <v>43</v>
      </c>
      <c r="E3207" s="46" t="s">
        <v>883</v>
      </c>
      <c r="F3207" s="46" t="s">
        <v>7415</v>
      </c>
      <c r="G3207" s="46" t="n">
        <f aca="false">+593989428924</f>
        <v>593989428924</v>
      </c>
      <c r="H3207" s="46" t="s">
        <v>7416</v>
      </c>
      <c r="I3207" s="46"/>
      <c r="J3207" s="1"/>
      <c r="K3207" s="1" t="s">
        <v>1156</v>
      </c>
      <c r="L3207" s="1"/>
      <c r="M3207" s="1"/>
      <c r="N3207" s="1"/>
      <c r="O3207" s="1"/>
      <c r="P3207" s="6"/>
      <c r="Q3207" s="1"/>
      <c r="R3207" s="1"/>
      <c r="S3207" s="1"/>
      <c r="T3207" s="1"/>
      <c r="U3207" s="1"/>
      <c r="V3207" s="1"/>
      <c r="W3207" s="1"/>
      <c r="X3207" s="1"/>
      <c r="Y3207" s="1"/>
      <c r="Z3207" s="1"/>
    </row>
    <row r="3208" customFormat="false" ht="21.75" hidden="false" customHeight="true" outlineLevel="0" collapsed="false">
      <c r="A3208" s="4" t="n">
        <v>43507</v>
      </c>
      <c r="B3208" s="46" t="s">
        <v>1114</v>
      </c>
      <c r="C3208" s="46" t="s">
        <v>15</v>
      </c>
      <c r="D3208" s="46" t="s">
        <v>43</v>
      </c>
      <c r="E3208" s="46" t="s">
        <v>883</v>
      </c>
      <c r="F3208" s="46" t="s">
        <v>7417</v>
      </c>
      <c r="G3208" s="46" t="n">
        <f aca="false">+5930986916861</f>
        <v>5930986916861</v>
      </c>
      <c r="H3208" s="46" t="s">
        <v>7418</v>
      </c>
      <c r="I3208" s="46"/>
      <c r="J3208" s="1"/>
      <c r="K3208" s="1" t="s">
        <v>6521</v>
      </c>
      <c r="L3208" s="1"/>
      <c r="M3208" s="1"/>
      <c r="N3208" s="1"/>
      <c r="O3208" s="1"/>
      <c r="P3208" s="6"/>
      <c r="Q3208" s="1"/>
      <c r="R3208" s="1"/>
      <c r="S3208" s="1"/>
      <c r="T3208" s="1"/>
      <c r="U3208" s="1"/>
      <c r="V3208" s="1"/>
      <c r="W3208" s="1"/>
      <c r="X3208" s="1"/>
      <c r="Y3208" s="1"/>
      <c r="Z3208" s="1"/>
    </row>
    <row r="3209" customFormat="false" ht="21.75" hidden="false" customHeight="true" outlineLevel="0" collapsed="false">
      <c r="A3209" s="4" t="n">
        <v>43507</v>
      </c>
      <c r="B3209" s="46" t="s">
        <v>352</v>
      </c>
      <c r="C3209" s="46" t="s">
        <v>15</v>
      </c>
      <c r="D3209" s="46" t="s">
        <v>43</v>
      </c>
      <c r="E3209" s="46" t="s">
        <v>883</v>
      </c>
      <c r="F3209" s="46" t="s">
        <v>7419</v>
      </c>
      <c r="G3209" s="46" t="n">
        <f aca="false">+5930969899609</f>
        <v>5930969899609</v>
      </c>
      <c r="H3209" s="46" t="s">
        <v>7420</v>
      </c>
      <c r="I3209" s="46"/>
      <c r="J3209" s="1"/>
      <c r="K3209" s="1" t="s">
        <v>1156</v>
      </c>
      <c r="L3209" s="1"/>
      <c r="M3209" s="1"/>
      <c r="N3209" s="1"/>
      <c r="O3209" s="1"/>
      <c r="P3209" s="6"/>
      <c r="Q3209" s="1"/>
      <c r="R3209" s="1"/>
      <c r="S3209" s="1"/>
      <c r="T3209" s="1"/>
      <c r="U3209" s="1"/>
      <c r="V3209" s="1"/>
      <c r="W3209" s="1"/>
      <c r="X3209" s="1"/>
      <c r="Y3209" s="1"/>
      <c r="Z3209" s="1"/>
    </row>
    <row r="3210" customFormat="false" ht="21.75" hidden="false" customHeight="true" outlineLevel="0" collapsed="false">
      <c r="A3210" s="4" t="n">
        <v>43507</v>
      </c>
      <c r="B3210" s="46" t="s">
        <v>1114</v>
      </c>
      <c r="C3210" s="46" t="s">
        <v>15</v>
      </c>
      <c r="D3210" s="46" t="s">
        <v>43</v>
      </c>
      <c r="E3210" s="46" t="s">
        <v>883</v>
      </c>
      <c r="F3210" s="46" t="s">
        <v>7421</v>
      </c>
      <c r="G3210" s="46" t="n">
        <f aca="false">+5930998824725</f>
        <v>5930998824725</v>
      </c>
      <c r="H3210" s="46" t="s">
        <v>7422</v>
      </c>
      <c r="I3210" s="46"/>
      <c r="J3210" s="1"/>
      <c r="K3210" s="1" t="s">
        <v>1156</v>
      </c>
      <c r="L3210" s="1"/>
      <c r="M3210" s="1"/>
      <c r="N3210" s="1"/>
      <c r="O3210" s="1"/>
      <c r="P3210" s="6"/>
      <c r="Q3210" s="1"/>
      <c r="R3210" s="1"/>
      <c r="S3210" s="1"/>
      <c r="T3210" s="1"/>
      <c r="U3210" s="1"/>
      <c r="V3210" s="1"/>
      <c r="W3210" s="1"/>
      <c r="X3210" s="1"/>
      <c r="Y3210" s="1"/>
      <c r="Z3210" s="1"/>
    </row>
    <row r="3211" customFormat="false" ht="21.75" hidden="false" customHeight="true" outlineLevel="0" collapsed="false">
      <c r="A3211" s="4" t="n">
        <v>43507</v>
      </c>
      <c r="B3211" s="46" t="s">
        <v>48</v>
      </c>
      <c r="C3211" s="46" t="s">
        <v>15</v>
      </c>
      <c r="D3211" s="46" t="s">
        <v>43</v>
      </c>
      <c r="E3211" s="46" t="s">
        <v>883</v>
      </c>
      <c r="F3211" s="46" t="s">
        <v>7423</v>
      </c>
      <c r="G3211" s="46" t="n">
        <f aca="false">+593996344227</f>
        <v>593996344227</v>
      </c>
      <c r="H3211" s="46" t="s">
        <v>7424</v>
      </c>
      <c r="I3211" s="46"/>
      <c r="J3211" s="1"/>
      <c r="K3211" s="1" t="s">
        <v>1156</v>
      </c>
      <c r="L3211" s="1"/>
      <c r="M3211" s="1"/>
      <c r="N3211" s="1"/>
      <c r="O3211" s="1"/>
      <c r="P3211" s="6"/>
      <c r="Q3211" s="1"/>
      <c r="R3211" s="1"/>
      <c r="S3211" s="1"/>
      <c r="T3211" s="1"/>
      <c r="U3211" s="1"/>
      <c r="V3211" s="1"/>
      <c r="W3211" s="1"/>
      <c r="X3211" s="1"/>
      <c r="Y3211" s="1"/>
      <c r="Z3211" s="1"/>
    </row>
    <row r="3212" customFormat="false" ht="21.75" hidden="false" customHeight="true" outlineLevel="0" collapsed="false">
      <c r="A3212" s="4" t="n">
        <v>43507</v>
      </c>
      <c r="B3212" s="46" t="s">
        <v>48</v>
      </c>
      <c r="C3212" s="46" t="s">
        <v>15</v>
      </c>
      <c r="D3212" s="46" t="s">
        <v>43</v>
      </c>
      <c r="E3212" s="46" t="s">
        <v>883</v>
      </c>
      <c r="F3212" s="46" t="s">
        <v>7425</v>
      </c>
      <c r="G3212" s="46" t="n">
        <f aca="false">+593978748792</f>
        <v>593978748792</v>
      </c>
      <c r="H3212" s="46" t="s">
        <v>7426</v>
      </c>
      <c r="I3212" s="46"/>
      <c r="J3212" s="1"/>
      <c r="K3212" s="1" t="s">
        <v>1156</v>
      </c>
      <c r="L3212" s="1"/>
      <c r="M3212" s="1"/>
      <c r="N3212" s="1"/>
      <c r="O3212" s="1"/>
      <c r="P3212" s="6"/>
      <c r="Q3212" s="1"/>
      <c r="R3212" s="1"/>
      <c r="S3212" s="1"/>
      <c r="T3212" s="1"/>
      <c r="U3212" s="1"/>
      <c r="V3212" s="1"/>
      <c r="W3212" s="1"/>
      <c r="X3212" s="1"/>
      <c r="Y3212" s="1"/>
      <c r="Z3212" s="1"/>
    </row>
    <row r="3213" customFormat="false" ht="21.75" hidden="false" customHeight="true" outlineLevel="0" collapsed="false">
      <c r="A3213" s="4" t="n">
        <v>43507</v>
      </c>
      <c r="B3213" s="46" t="s">
        <v>48</v>
      </c>
      <c r="C3213" s="46" t="s">
        <v>15</v>
      </c>
      <c r="D3213" s="46" t="s">
        <v>43</v>
      </c>
      <c r="E3213" s="46" t="s">
        <v>883</v>
      </c>
      <c r="F3213" s="46" t="s">
        <v>7427</v>
      </c>
      <c r="G3213" s="46" t="n">
        <f aca="false">+593992472168</f>
        <v>593992472168</v>
      </c>
      <c r="H3213" s="46" t="s">
        <v>7428</v>
      </c>
      <c r="I3213" s="46"/>
      <c r="J3213" s="1"/>
      <c r="K3213" s="1" t="s">
        <v>7429</v>
      </c>
      <c r="L3213" s="1"/>
      <c r="M3213" s="1"/>
      <c r="N3213" s="1"/>
      <c r="O3213" s="1"/>
      <c r="P3213" s="6"/>
      <c r="Q3213" s="1"/>
      <c r="R3213" s="1"/>
      <c r="S3213" s="1"/>
      <c r="T3213" s="1"/>
      <c r="U3213" s="1"/>
      <c r="V3213" s="1"/>
      <c r="W3213" s="1"/>
      <c r="X3213" s="1"/>
      <c r="Y3213" s="1"/>
      <c r="Z3213" s="1"/>
    </row>
    <row r="3214" customFormat="false" ht="21.75" hidden="false" customHeight="true" outlineLevel="0" collapsed="false">
      <c r="A3214" s="4" t="n">
        <v>43507</v>
      </c>
      <c r="B3214" s="46" t="s">
        <v>48</v>
      </c>
      <c r="C3214" s="46" t="s">
        <v>15</v>
      </c>
      <c r="D3214" s="46" t="s">
        <v>43</v>
      </c>
      <c r="E3214" s="46" t="s">
        <v>883</v>
      </c>
      <c r="F3214" s="46" t="s">
        <v>7430</v>
      </c>
      <c r="G3214" s="46" t="n">
        <f aca="false">+5930991430800</f>
        <v>5930991430800</v>
      </c>
      <c r="H3214" s="46" t="s">
        <v>7431</v>
      </c>
      <c r="I3214" s="46"/>
      <c r="J3214" s="1"/>
      <c r="K3214" s="1" t="s">
        <v>5481</v>
      </c>
      <c r="L3214" s="1"/>
      <c r="M3214" s="1"/>
      <c r="N3214" s="1"/>
      <c r="O3214" s="1"/>
      <c r="P3214" s="6"/>
      <c r="Q3214" s="1"/>
      <c r="R3214" s="1"/>
      <c r="S3214" s="1"/>
      <c r="T3214" s="1"/>
      <c r="U3214" s="1"/>
      <c r="V3214" s="1"/>
      <c r="W3214" s="1"/>
      <c r="X3214" s="1"/>
      <c r="Y3214" s="1"/>
      <c r="Z3214" s="1"/>
    </row>
    <row r="3215" customFormat="false" ht="21.75" hidden="false" customHeight="true" outlineLevel="0" collapsed="false">
      <c r="A3215" s="4" t="n">
        <v>43507</v>
      </c>
      <c r="B3215" s="46" t="s">
        <v>178</v>
      </c>
      <c r="C3215" s="46" t="s">
        <v>15</v>
      </c>
      <c r="D3215" s="46" t="s">
        <v>43</v>
      </c>
      <c r="E3215" s="46" t="s">
        <v>883</v>
      </c>
      <c r="F3215" s="46" t="s">
        <v>7432</v>
      </c>
      <c r="G3215" s="46" t="n">
        <f aca="false">+593988104038</f>
        <v>593988104038</v>
      </c>
      <c r="H3215" s="46" t="s">
        <v>7433</v>
      </c>
      <c r="I3215" s="46"/>
      <c r="J3215" s="1"/>
      <c r="K3215" s="1" t="s">
        <v>5481</v>
      </c>
      <c r="L3215" s="1"/>
      <c r="M3215" s="1"/>
      <c r="N3215" s="1"/>
      <c r="O3215" s="1"/>
      <c r="P3215" s="6"/>
      <c r="Q3215" s="1"/>
      <c r="R3215" s="1"/>
      <c r="S3215" s="1"/>
      <c r="T3215" s="1"/>
      <c r="U3215" s="1"/>
      <c r="V3215" s="1"/>
      <c r="W3215" s="1"/>
      <c r="X3215" s="1"/>
      <c r="Y3215" s="1"/>
      <c r="Z3215" s="1"/>
    </row>
    <row r="3216" customFormat="false" ht="21.75" hidden="false" customHeight="true" outlineLevel="0" collapsed="false">
      <c r="A3216" s="4" t="n">
        <v>43507</v>
      </c>
      <c r="B3216" s="46" t="s">
        <v>1114</v>
      </c>
      <c r="C3216" s="46" t="s">
        <v>15</v>
      </c>
      <c r="D3216" s="46" t="s">
        <v>43</v>
      </c>
      <c r="E3216" s="46" t="s">
        <v>883</v>
      </c>
      <c r="F3216" s="46" t="s">
        <v>7434</v>
      </c>
      <c r="G3216" s="46" t="n">
        <f aca="false">+593995192474</f>
        <v>593995192474</v>
      </c>
      <c r="H3216" s="46" t="s">
        <v>7435</v>
      </c>
      <c r="I3216" s="46"/>
      <c r="J3216" s="1"/>
      <c r="K3216" s="1" t="s">
        <v>1156</v>
      </c>
      <c r="L3216" s="1"/>
      <c r="M3216" s="1"/>
      <c r="N3216" s="1"/>
      <c r="O3216" s="1"/>
      <c r="P3216" s="6"/>
      <c r="Q3216" s="1"/>
      <c r="R3216" s="1"/>
      <c r="S3216" s="1"/>
      <c r="T3216" s="1"/>
      <c r="U3216" s="1"/>
      <c r="V3216" s="1"/>
      <c r="W3216" s="1"/>
      <c r="X3216" s="1"/>
      <c r="Y3216" s="1"/>
      <c r="Z3216" s="1"/>
    </row>
    <row r="3217" customFormat="false" ht="21.75" hidden="false" customHeight="true" outlineLevel="0" collapsed="false">
      <c r="A3217" s="4" t="n">
        <v>43507</v>
      </c>
      <c r="B3217" s="46" t="s">
        <v>48</v>
      </c>
      <c r="C3217" s="46" t="s">
        <v>15</v>
      </c>
      <c r="D3217" s="46" t="s">
        <v>43</v>
      </c>
      <c r="E3217" s="46" t="s">
        <v>883</v>
      </c>
      <c r="F3217" s="46" t="s">
        <v>7436</v>
      </c>
      <c r="G3217" s="46" t="n">
        <f aca="false">+5930989873831</f>
        <v>5930989873831</v>
      </c>
      <c r="H3217" s="46" t="s">
        <v>7437</v>
      </c>
      <c r="I3217" s="46"/>
      <c r="J3217" s="1"/>
      <c r="K3217" s="1" t="s">
        <v>7438</v>
      </c>
      <c r="L3217" s="1"/>
      <c r="M3217" s="1"/>
      <c r="N3217" s="1"/>
      <c r="O3217" s="1"/>
      <c r="P3217" s="6"/>
      <c r="Q3217" s="1"/>
      <c r="R3217" s="1"/>
      <c r="S3217" s="1"/>
      <c r="T3217" s="1"/>
      <c r="U3217" s="1"/>
      <c r="V3217" s="1"/>
      <c r="W3217" s="1"/>
      <c r="X3217" s="1"/>
      <c r="Y3217" s="1"/>
      <c r="Z3217" s="1"/>
    </row>
    <row r="3218" customFormat="false" ht="21.75" hidden="false" customHeight="true" outlineLevel="0" collapsed="false">
      <c r="A3218" s="4" t="n">
        <v>43507</v>
      </c>
      <c r="B3218" s="46" t="s">
        <v>1114</v>
      </c>
      <c r="C3218" s="46" t="s">
        <v>15</v>
      </c>
      <c r="D3218" s="46" t="s">
        <v>43</v>
      </c>
      <c r="E3218" s="46" t="s">
        <v>883</v>
      </c>
      <c r="F3218" s="46" t="s">
        <v>7439</v>
      </c>
      <c r="G3218" s="46" t="n">
        <f aca="false">+593990395687</f>
        <v>593990395687</v>
      </c>
      <c r="H3218" s="46" t="s">
        <v>7440</v>
      </c>
      <c r="I3218" s="46"/>
      <c r="J3218" s="1"/>
      <c r="K3218" s="1" t="s">
        <v>1156</v>
      </c>
      <c r="L3218" s="1"/>
      <c r="M3218" s="1"/>
      <c r="N3218" s="1"/>
      <c r="O3218" s="1"/>
      <c r="P3218" s="6"/>
      <c r="Q3218" s="1"/>
      <c r="R3218" s="1"/>
      <c r="S3218" s="1"/>
      <c r="T3218" s="1"/>
      <c r="U3218" s="1"/>
      <c r="V3218" s="1"/>
      <c r="W3218" s="1"/>
      <c r="X3218" s="1"/>
      <c r="Y3218" s="1"/>
      <c r="Z3218" s="1"/>
    </row>
    <row r="3219" customFormat="false" ht="21.75" hidden="false" customHeight="true" outlineLevel="0" collapsed="false">
      <c r="A3219" s="4" t="n">
        <v>43507</v>
      </c>
      <c r="B3219" s="46" t="s">
        <v>127</v>
      </c>
      <c r="C3219" s="46" t="s">
        <v>26</v>
      </c>
      <c r="D3219" s="46" t="s">
        <v>43</v>
      </c>
      <c r="E3219" s="46" t="s">
        <v>883</v>
      </c>
      <c r="F3219" s="46" t="s">
        <v>7441</v>
      </c>
      <c r="G3219" s="46" t="n">
        <f aca="false">+593968997055</f>
        <v>593968997055</v>
      </c>
      <c r="H3219" s="46" t="s">
        <v>7442</v>
      </c>
      <c r="I3219" s="46"/>
      <c r="J3219" s="1"/>
      <c r="K3219" s="1" t="s">
        <v>7443</v>
      </c>
      <c r="L3219" s="1"/>
      <c r="M3219" s="1"/>
      <c r="N3219" s="1"/>
      <c r="O3219" s="1"/>
      <c r="P3219" s="6"/>
      <c r="Q3219" s="1"/>
      <c r="R3219" s="1"/>
      <c r="S3219" s="1"/>
      <c r="T3219" s="1"/>
      <c r="U3219" s="1"/>
      <c r="V3219" s="1"/>
      <c r="W3219" s="1"/>
      <c r="X3219" s="1"/>
      <c r="Y3219" s="1"/>
      <c r="Z3219" s="1"/>
    </row>
    <row r="3220" customFormat="false" ht="21.75" hidden="false" customHeight="true" outlineLevel="0" collapsed="false">
      <c r="A3220" s="4" t="n">
        <v>43507</v>
      </c>
      <c r="B3220" s="53" t="s">
        <v>48</v>
      </c>
      <c r="C3220" s="46" t="s">
        <v>15</v>
      </c>
      <c r="D3220" s="46" t="s">
        <v>43</v>
      </c>
      <c r="E3220" s="46" t="s">
        <v>44</v>
      </c>
      <c r="F3220" s="46" t="s">
        <v>7444</v>
      </c>
      <c r="G3220" s="46" t="n">
        <f aca="false">+593983530548</f>
        <v>593983530548</v>
      </c>
      <c r="H3220" s="46" t="s">
        <v>7445</v>
      </c>
      <c r="I3220" s="46"/>
      <c r="J3220" s="1"/>
      <c r="K3220" s="1" t="s">
        <v>1156</v>
      </c>
      <c r="L3220" s="1"/>
      <c r="M3220" s="1"/>
      <c r="N3220" s="1"/>
      <c r="O3220" s="1"/>
      <c r="P3220" s="6"/>
      <c r="Q3220" s="1"/>
      <c r="R3220" s="1"/>
      <c r="S3220" s="1"/>
      <c r="T3220" s="1"/>
      <c r="U3220" s="1"/>
      <c r="V3220" s="1"/>
      <c r="W3220" s="1"/>
      <c r="X3220" s="1"/>
      <c r="Y3220" s="1"/>
      <c r="Z3220" s="1"/>
    </row>
    <row r="3221" customFormat="false" ht="21.75" hidden="false" customHeight="true" outlineLevel="0" collapsed="false">
      <c r="A3221" s="4" t="n">
        <v>43507</v>
      </c>
      <c r="B3221" s="53" t="s">
        <v>48</v>
      </c>
      <c r="C3221" s="46" t="s">
        <v>15</v>
      </c>
      <c r="D3221" s="46" t="s">
        <v>43</v>
      </c>
      <c r="E3221" s="46" t="s">
        <v>44</v>
      </c>
      <c r="F3221" s="46" t="s">
        <v>4631</v>
      </c>
      <c r="G3221" s="46" t="n">
        <f aca="false">+5930984833897</f>
        <v>5930984833897</v>
      </c>
      <c r="H3221" s="46" t="s">
        <v>4632</v>
      </c>
      <c r="I3221" s="46"/>
      <c r="J3221" s="1"/>
      <c r="K3221" s="1" t="s">
        <v>7346</v>
      </c>
      <c r="L3221" s="1"/>
      <c r="M3221" s="1"/>
      <c r="N3221" s="1"/>
      <c r="O3221" s="1"/>
      <c r="P3221" s="6"/>
      <c r="Q3221" s="1"/>
      <c r="R3221" s="1"/>
      <c r="S3221" s="1"/>
      <c r="T3221" s="1"/>
      <c r="U3221" s="1"/>
      <c r="V3221" s="1"/>
      <c r="W3221" s="1"/>
      <c r="X3221" s="1"/>
      <c r="Y3221" s="1"/>
      <c r="Z3221" s="1"/>
    </row>
    <row r="3222" customFormat="false" ht="21.75" hidden="false" customHeight="true" outlineLevel="0" collapsed="false">
      <c r="A3222" s="4" t="n">
        <v>43507</v>
      </c>
      <c r="B3222" s="53" t="s">
        <v>48</v>
      </c>
      <c r="C3222" s="46" t="s">
        <v>26</v>
      </c>
      <c r="D3222" s="46" t="s">
        <v>43</v>
      </c>
      <c r="E3222" s="46" t="s">
        <v>44</v>
      </c>
      <c r="F3222" s="46" t="s">
        <v>7446</v>
      </c>
      <c r="G3222" s="46" t="n">
        <f aca="false">+593992503329</f>
        <v>593992503329</v>
      </c>
      <c r="H3222" s="46" t="s">
        <v>7447</v>
      </c>
      <c r="I3222" s="46"/>
      <c r="J3222" s="1"/>
      <c r="K3222" s="1" t="s">
        <v>1149</v>
      </c>
      <c r="L3222" s="1"/>
      <c r="M3222" s="1"/>
      <c r="N3222" s="1"/>
      <c r="O3222" s="1"/>
      <c r="P3222" s="6"/>
      <c r="Q3222" s="1"/>
      <c r="R3222" s="1"/>
      <c r="S3222" s="1"/>
      <c r="T3222" s="1"/>
      <c r="U3222" s="1"/>
      <c r="V3222" s="1"/>
      <c r="W3222" s="1"/>
      <c r="X3222" s="1"/>
      <c r="Y3222" s="1"/>
      <c r="Z3222" s="1"/>
    </row>
    <row r="3223" customFormat="false" ht="21.75" hidden="false" customHeight="true" outlineLevel="0" collapsed="false">
      <c r="A3223" s="4" t="n">
        <v>43507</v>
      </c>
      <c r="B3223" s="53" t="s">
        <v>48</v>
      </c>
      <c r="C3223" s="46" t="s">
        <v>26</v>
      </c>
      <c r="D3223" s="46" t="s">
        <v>43</v>
      </c>
      <c r="E3223" s="46" t="s">
        <v>44</v>
      </c>
      <c r="F3223" s="46" t="s">
        <v>7448</v>
      </c>
      <c r="G3223" s="46" t="n">
        <f aca="false">+593998233231</f>
        <v>593998233231</v>
      </c>
      <c r="H3223" s="46" t="s">
        <v>7449</v>
      </c>
      <c r="I3223" s="46"/>
      <c r="J3223" s="1"/>
      <c r="K3223" s="1" t="s">
        <v>1156</v>
      </c>
      <c r="L3223" s="1"/>
      <c r="M3223" s="1"/>
      <c r="N3223" s="1"/>
      <c r="O3223" s="1"/>
      <c r="P3223" s="6"/>
      <c r="Q3223" s="1"/>
      <c r="R3223" s="1"/>
      <c r="S3223" s="1"/>
      <c r="T3223" s="1"/>
      <c r="U3223" s="1"/>
      <c r="V3223" s="1"/>
      <c r="W3223" s="1"/>
      <c r="X3223" s="1"/>
      <c r="Y3223" s="1"/>
      <c r="Z3223" s="1"/>
    </row>
    <row r="3224" customFormat="false" ht="21.75" hidden="false" customHeight="true" outlineLevel="0" collapsed="false">
      <c r="A3224" s="4" t="n">
        <v>43507</v>
      </c>
      <c r="B3224" s="53" t="s">
        <v>48</v>
      </c>
      <c r="C3224" s="46" t="s">
        <v>15</v>
      </c>
      <c r="D3224" s="46" t="s">
        <v>43</v>
      </c>
      <c r="E3224" s="46" t="s">
        <v>44</v>
      </c>
      <c r="F3224" s="46" t="s">
        <v>7450</v>
      </c>
      <c r="G3224" s="46" t="n">
        <f aca="false">+5930991434003</f>
        <v>5930991434003</v>
      </c>
      <c r="H3224" s="46" t="s">
        <v>7451</v>
      </c>
      <c r="I3224" s="46"/>
      <c r="J3224" s="1"/>
      <c r="K3224" s="1" t="s">
        <v>1144</v>
      </c>
      <c r="L3224" s="1"/>
      <c r="M3224" s="1"/>
      <c r="N3224" s="1"/>
      <c r="O3224" s="1"/>
      <c r="P3224" s="6"/>
      <c r="Q3224" s="1"/>
      <c r="R3224" s="1"/>
      <c r="S3224" s="1"/>
      <c r="T3224" s="1"/>
      <c r="U3224" s="1"/>
      <c r="V3224" s="1"/>
      <c r="W3224" s="1"/>
      <c r="X3224" s="1"/>
      <c r="Y3224" s="1"/>
      <c r="Z3224" s="1"/>
    </row>
    <row r="3225" customFormat="false" ht="21.75" hidden="false" customHeight="true" outlineLevel="0" collapsed="false">
      <c r="A3225" s="4" t="n">
        <v>43507</v>
      </c>
      <c r="B3225" s="53" t="s">
        <v>48</v>
      </c>
      <c r="C3225" s="46" t="s">
        <v>26</v>
      </c>
      <c r="D3225" s="46" t="s">
        <v>43</v>
      </c>
      <c r="E3225" s="46" t="s">
        <v>44</v>
      </c>
      <c r="F3225" s="46" t="s">
        <v>7452</v>
      </c>
      <c r="G3225" s="46" t="n">
        <f aca="false">+5930999587428</f>
        <v>5930999587428</v>
      </c>
      <c r="H3225" s="46" t="s">
        <v>7453</v>
      </c>
      <c r="I3225" s="46"/>
      <c r="J3225" s="1"/>
      <c r="K3225" s="1" t="s">
        <v>21</v>
      </c>
      <c r="L3225" s="1"/>
      <c r="M3225" s="1"/>
      <c r="N3225" s="1"/>
      <c r="O3225" s="1"/>
      <c r="P3225" s="6"/>
      <c r="Q3225" s="1"/>
      <c r="R3225" s="1"/>
      <c r="S3225" s="1"/>
      <c r="T3225" s="1"/>
      <c r="U3225" s="1"/>
      <c r="V3225" s="1"/>
      <c r="W3225" s="1"/>
      <c r="X3225" s="1"/>
      <c r="Y3225" s="1"/>
      <c r="Z3225" s="1"/>
    </row>
    <row r="3226" customFormat="false" ht="21.75" hidden="false" customHeight="true" outlineLevel="0" collapsed="false">
      <c r="A3226" s="4" t="n">
        <v>43507</v>
      </c>
      <c r="B3226" s="53" t="s">
        <v>48</v>
      </c>
      <c r="C3226" s="46" t="s">
        <v>15</v>
      </c>
      <c r="D3226" s="46" t="s">
        <v>43</v>
      </c>
      <c r="E3226" s="46" t="s">
        <v>44</v>
      </c>
      <c r="F3226" s="46" t="s">
        <v>7454</v>
      </c>
      <c r="G3226" s="46" t="n">
        <f aca="false">+593984223778</f>
        <v>593984223778</v>
      </c>
      <c r="H3226" s="46" t="s">
        <v>7455</v>
      </c>
      <c r="I3226" s="46"/>
      <c r="J3226" s="1"/>
      <c r="K3226" s="1" t="s">
        <v>65</v>
      </c>
      <c r="L3226" s="1"/>
      <c r="M3226" s="1"/>
      <c r="N3226" s="1"/>
      <c r="O3226" s="1"/>
      <c r="P3226" s="6"/>
      <c r="Q3226" s="1"/>
      <c r="R3226" s="1"/>
      <c r="S3226" s="1"/>
      <c r="T3226" s="1"/>
      <c r="U3226" s="1"/>
      <c r="V3226" s="1"/>
      <c r="W3226" s="1"/>
      <c r="X3226" s="1"/>
      <c r="Y3226" s="1"/>
      <c r="Z3226" s="1"/>
    </row>
    <row r="3227" customFormat="false" ht="21.75" hidden="false" customHeight="true" outlineLevel="0" collapsed="false">
      <c r="A3227" s="4" t="n">
        <v>43507</v>
      </c>
      <c r="B3227" s="53" t="s">
        <v>48</v>
      </c>
      <c r="C3227" s="46" t="s">
        <v>15</v>
      </c>
      <c r="D3227" s="46" t="s">
        <v>43</v>
      </c>
      <c r="E3227" s="46" t="s">
        <v>44</v>
      </c>
      <c r="F3227" s="46" t="s">
        <v>7456</v>
      </c>
      <c r="G3227" s="46" t="n">
        <f aca="false">+593986725198</f>
        <v>593986725198</v>
      </c>
      <c r="H3227" s="46" t="s">
        <v>7457</v>
      </c>
      <c r="I3227" s="46"/>
      <c r="J3227" s="1"/>
      <c r="K3227" s="2" t="s">
        <v>7458</v>
      </c>
      <c r="L3227" s="1"/>
      <c r="M3227" s="1"/>
      <c r="N3227" s="1"/>
      <c r="O3227" s="1"/>
      <c r="P3227" s="6"/>
      <c r="Q3227" s="1"/>
      <c r="R3227" s="1"/>
      <c r="S3227" s="1"/>
      <c r="T3227" s="1"/>
      <c r="U3227" s="1"/>
      <c r="V3227" s="1"/>
      <c r="W3227" s="1"/>
      <c r="X3227" s="1"/>
      <c r="Y3227" s="1"/>
      <c r="Z3227" s="1"/>
    </row>
    <row r="3228" customFormat="false" ht="21.75" hidden="false" customHeight="true" outlineLevel="0" collapsed="false">
      <c r="A3228" s="4" t="n">
        <v>43507</v>
      </c>
      <c r="B3228" s="53" t="s">
        <v>48</v>
      </c>
      <c r="C3228" s="46" t="s">
        <v>15</v>
      </c>
      <c r="D3228" s="46" t="s">
        <v>43</v>
      </c>
      <c r="E3228" s="46" t="s">
        <v>44</v>
      </c>
      <c r="F3228" s="46" t="s">
        <v>7459</v>
      </c>
      <c r="G3228" s="46" t="n">
        <f aca="false">+593998815170</f>
        <v>593998815170</v>
      </c>
      <c r="H3228" s="46" t="s">
        <v>7460</v>
      </c>
      <c r="I3228" s="46"/>
      <c r="J3228" s="1"/>
      <c r="K3228" s="1" t="s">
        <v>21</v>
      </c>
      <c r="L3228" s="1"/>
      <c r="M3228" s="1"/>
      <c r="N3228" s="1"/>
      <c r="O3228" s="1"/>
      <c r="P3228" s="6"/>
      <c r="Q3228" s="1"/>
      <c r="R3228" s="1"/>
      <c r="S3228" s="1"/>
      <c r="T3228" s="1"/>
      <c r="U3228" s="1"/>
      <c r="V3228" s="1"/>
      <c r="W3228" s="1"/>
      <c r="X3228" s="1"/>
      <c r="Y3228" s="1"/>
      <c r="Z3228" s="1"/>
    </row>
    <row r="3229" customFormat="false" ht="21.75" hidden="false" customHeight="true" outlineLevel="0" collapsed="false">
      <c r="A3229" s="4" t="n">
        <v>43507</v>
      </c>
      <c r="B3229" s="53" t="s">
        <v>48</v>
      </c>
      <c r="C3229" s="46" t="s">
        <v>15</v>
      </c>
      <c r="D3229" s="46" t="s">
        <v>43</v>
      </c>
      <c r="E3229" s="46" t="s">
        <v>44</v>
      </c>
      <c r="F3229" s="46" t="s">
        <v>7461</v>
      </c>
      <c r="G3229" s="46" t="n">
        <f aca="false">+593998546205</f>
        <v>593998546205</v>
      </c>
      <c r="H3229" s="46" t="s">
        <v>7462</v>
      </c>
      <c r="I3229" s="46"/>
      <c r="J3229" s="1"/>
      <c r="K3229" s="1" t="s">
        <v>7463</v>
      </c>
      <c r="L3229" s="1"/>
      <c r="M3229" s="1"/>
      <c r="N3229" s="1"/>
      <c r="O3229" s="1"/>
      <c r="P3229" s="6"/>
      <c r="Q3229" s="1"/>
      <c r="R3229" s="1"/>
      <c r="S3229" s="1"/>
      <c r="T3229" s="1"/>
      <c r="U3229" s="1"/>
      <c r="V3229" s="1"/>
      <c r="W3229" s="1"/>
      <c r="X3229" s="1"/>
      <c r="Y3229" s="1"/>
      <c r="Z3229" s="1"/>
    </row>
    <row r="3230" customFormat="false" ht="21.75" hidden="false" customHeight="true" outlineLevel="0" collapsed="false">
      <c r="A3230" s="4" t="n">
        <v>43507</v>
      </c>
      <c r="B3230" s="53" t="s">
        <v>48</v>
      </c>
      <c r="C3230" s="46" t="s">
        <v>15</v>
      </c>
      <c r="D3230" s="46" t="s">
        <v>43</v>
      </c>
      <c r="E3230" s="46" t="s">
        <v>44</v>
      </c>
      <c r="F3230" s="46" t="s">
        <v>7464</v>
      </c>
      <c r="G3230" s="46" t="n">
        <f aca="false">+5930986916861</f>
        <v>5930986916861</v>
      </c>
      <c r="H3230" s="46" t="s">
        <v>7418</v>
      </c>
      <c r="I3230" s="46"/>
      <c r="J3230" s="1"/>
      <c r="K3230" s="1" t="s">
        <v>21</v>
      </c>
      <c r="L3230" s="1"/>
      <c r="M3230" s="1"/>
      <c r="N3230" s="1"/>
      <c r="O3230" s="1"/>
      <c r="P3230" s="6"/>
      <c r="Q3230" s="1"/>
      <c r="R3230" s="1"/>
      <c r="S3230" s="1"/>
      <c r="T3230" s="1"/>
      <c r="U3230" s="1"/>
      <c r="V3230" s="1"/>
      <c r="W3230" s="1"/>
      <c r="X3230" s="1"/>
      <c r="Y3230" s="1"/>
      <c r="Z3230" s="1"/>
    </row>
    <row r="3231" customFormat="false" ht="21.75" hidden="false" customHeight="true" outlineLevel="0" collapsed="false">
      <c r="A3231" s="4" t="n">
        <v>43507</v>
      </c>
      <c r="B3231" s="53" t="s">
        <v>48</v>
      </c>
      <c r="C3231" s="46" t="s">
        <v>15</v>
      </c>
      <c r="D3231" s="46" t="s">
        <v>43</v>
      </c>
      <c r="E3231" s="46" t="s">
        <v>44</v>
      </c>
      <c r="F3231" s="46" t="s">
        <v>7465</v>
      </c>
      <c r="G3231" s="57" t="n">
        <v>994232879</v>
      </c>
      <c r="H3231" s="46" t="s">
        <v>7466</v>
      </c>
      <c r="I3231" s="46"/>
      <c r="J3231" s="1"/>
      <c r="K3231" s="1" t="s">
        <v>165</v>
      </c>
      <c r="L3231" s="1"/>
      <c r="M3231" s="1"/>
      <c r="N3231" s="1"/>
      <c r="O3231" s="1"/>
      <c r="P3231" s="6"/>
      <c r="Q3231" s="1"/>
      <c r="R3231" s="1"/>
      <c r="S3231" s="1"/>
      <c r="T3231" s="1"/>
      <c r="U3231" s="1"/>
      <c r="V3231" s="1"/>
      <c r="W3231" s="1"/>
      <c r="X3231" s="1"/>
      <c r="Y3231" s="1"/>
      <c r="Z3231" s="1"/>
    </row>
    <row r="3232" customFormat="false" ht="21.75" hidden="false" customHeight="true" outlineLevel="0" collapsed="false">
      <c r="A3232" s="4" t="n">
        <v>43507</v>
      </c>
      <c r="B3232" s="53" t="s">
        <v>48</v>
      </c>
      <c r="C3232" s="46" t="s">
        <v>15</v>
      </c>
      <c r="D3232" s="46" t="s">
        <v>43</v>
      </c>
      <c r="E3232" s="46" t="s">
        <v>44</v>
      </c>
      <c r="F3232" s="46" t="s">
        <v>7467</v>
      </c>
      <c r="G3232" s="46" t="n">
        <f aca="false">+593979447554</f>
        <v>593979447554</v>
      </c>
      <c r="H3232" s="46" t="s">
        <v>7468</v>
      </c>
      <c r="I3232" s="46"/>
      <c r="J3232" s="1"/>
      <c r="K3232" s="1" t="s">
        <v>6886</v>
      </c>
      <c r="L3232" s="1"/>
      <c r="M3232" s="1"/>
      <c r="N3232" s="1"/>
      <c r="O3232" s="1"/>
      <c r="P3232" s="6"/>
      <c r="Q3232" s="1"/>
      <c r="R3232" s="1"/>
      <c r="S3232" s="1"/>
      <c r="T3232" s="1"/>
      <c r="U3232" s="1"/>
      <c r="V3232" s="1"/>
      <c r="W3232" s="1"/>
      <c r="X3232" s="1"/>
      <c r="Y3232" s="1"/>
      <c r="Z3232" s="1"/>
    </row>
    <row r="3233" customFormat="false" ht="21.75" hidden="false" customHeight="true" outlineLevel="0" collapsed="false">
      <c r="A3233" s="4" t="n">
        <v>43507</v>
      </c>
      <c r="B3233" s="53" t="s">
        <v>48</v>
      </c>
      <c r="C3233" s="46" t="s">
        <v>15</v>
      </c>
      <c r="D3233" s="46" t="s">
        <v>43</v>
      </c>
      <c r="E3233" s="46" t="s">
        <v>44</v>
      </c>
      <c r="F3233" s="46" t="s">
        <v>7469</v>
      </c>
      <c r="G3233" s="46" t="n">
        <f aca="false">+593979783212</f>
        <v>593979783212</v>
      </c>
      <c r="H3233" s="46" t="s">
        <v>7470</v>
      </c>
      <c r="I3233" s="46"/>
      <c r="J3233" s="1"/>
      <c r="K3233" s="1" t="s">
        <v>21</v>
      </c>
      <c r="L3233" s="1"/>
      <c r="M3233" s="1"/>
      <c r="N3233" s="1"/>
      <c r="O3233" s="1"/>
      <c r="P3233" s="6"/>
      <c r="Q3233" s="1"/>
      <c r="R3233" s="1"/>
      <c r="S3233" s="1"/>
      <c r="T3233" s="1"/>
      <c r="U3233" s="1"/>
      <c r="V3233" s="1"/>
      <c r="W3233" s="1"/>
      <c r="X3233" s="1"/>
      <c r="Y3233" s="1"/>
      <c r="Z3233" s="1"/>
    </row>
    <row r="3234" customFormat="false" ht="21.75" hidden="false" customHeight="true" outlineLevel="0" collapsed="false">
      <c r="A3234" s="4" t="n">
        <v>43507</v>
      </c>
      <c r="B3234" s="53" t="s">
        <v>48</v>
      </c>
      <c r="C3234" s="46" t="s">
        <v>26</v>
      </c>
      <c r="D3234" s="46" t="s">
        <v>43</v>
      </c>
      <c r="E3234" s="46" t="s">
        <v>44</v>
      </c>
      <c r="F3234" s="46" t="s">
        <v>7471</v>
      </c>
      <c r="G3234" s="46" t="n">
        <f aca="false">+593998371571</f>
        <v>593998371571</v>
      </c>
      <c r="H3234" s="46" t="s">
        <v>7472</v>
      </c>
      <c r="I3234" s="46"/>
      <c r="J3234" s="1"/>
      <c r="K3234" s="1" t="s">
        <v>7473</v>
      </c>
      <c r="L3234" s="1"/>
      <c r="M3234" s="1"/>
      <c r="N3234" s="1"/>
      <c r="O3234" s="1"/>
      <c r="P3234" s="6"/>
      <c r="Q3234" s="1"/>
      <c r="R3234" s="1"/>
      <c r="S3234" s="1"/>
      <c r="T3234" s="1"/>
      <c r="U3234" s="1"/>
      <c r="V3234" s="1"/>
      <c r="W3234" s="1"/>
      <c r="X3234" s="1"/>
      <c r="Y3234" s="1"/>
      <c r="Z3234" s="1"/>
    </row>
    <row r="3235" customFormat="false" ht="21.75" hidden="false" customHeight="true" outlineLevel="0" collapsed="false">
      <c r="A3235" s="4" t="n">
        <v>43507</v>
      </c>
      <c r="B3235" s="53" t="s">
        <v>127</v>
      </c>
      <c r="C3235" s="46" t="s">
        <v>15</v>
      </c>
      <c r="D3235" s="46" t="s">
        <v>43</v>
      </c>
      <c r="E3235" s="46" t="s">
        <v>44</v>
      </c>
      <c r="F3235" s="46" t="s">
        <v>7474</v>
      </c>
      <c r="G3235" s="46" t="n">
        <f aca="false">+5930984655882</f>
        <v>5930984655882</v>
      </c>
      <c r="H3235" s="46" t="s">
        <v>7475</v>
      </c>
      <c r="I3235" s="46"/>
      <c r="J3235" s="1"/>
      <c r="K3235" s="1" t="s">
        <v>1065</v>
      </c>
      <c r="L3235" s="1"/>
      <c r="M3235" s="1"/>
      <c r="N3235" s="1"/>
      <c r="O3235" s="1"/>
      <c r="P3235" s="6"/>
      <c r="Q3235" s="1"/>
      <c r="R3235" s="1"/>
      <c r="S3235" s="1"/>
      <c r="T3235" s="1"/>
      <c r="U3235" s="1"/>
      <c r="V3235" s="1"/>
      <c r="W3235" s="1"/>
      <c r="X3235" s="1"/>
      <c r="Y3235" s="1"/>
      <c r="Z3235" s="1"/>
    </row>
    <row r="3236" customFormat="false" ht="21.75" hidden="false" customHeight="true" outlineLevel="0" collapsed="false">
      <c r="A3236" s="4" t="n">
        <v>43507</v>
      </c>
      <c r="B3236" s="53" t="s">
        <v>127</v>
      </c>
      <c r="C3236" s="46" t="s">
        <v>15</v>
      </c>
      <c r="D3236" s="46" t="s">
        <v>43</v>
      </c>
      <c r="E3236" s="46" t="s">
        <v>44</v>
      </c>
      <c r="F3236" s="46" t="s">
        <v>7476</v>
      </c>
      <c r="G3236" s="46" t="n">
        <f aca="false">+59372683123</f>
        <v>59372683123</v>
      </c>
      <c r="H3236" s="46" t="s">
        <v>7477</v>
      </c>
      <c r="I3236" s="46"/>
      <c r="J3236" s="1"/>
      <c r="K3236" s="1" t="s">
        <v>21</v>
      </c>
      <c r="L3236" s="1"/>
      <c r="M3236" s="1"/>
      <c r="N3236" s="1"/>
      <c r="O3236" s="1"/>
      <c r="P3236" s="6"/>
      <c r="Q3236" s="1"/>
      <c r="R3236" s="1"/>
      <c r="S3236" s="1"/>
      <c r="T3236" s="1"/>
      <c r="U3236" s="1"/>
      <c r="V3236" s="1"/>
      <c r="W3236" s="1"/>
      <c r="X3236" s="1"/>
      <c r="Y3236" s="1"/>
      <c r="Z3236" s="1"/>
    </row>
    <row r="3237" customFormat="false" ht="21.75" hidden="false" customHeight="true" outlineLevel="0" collapsed="false">
      <c r="A3237" s="4" t="n">
        <v>43507</v>
      </c>
      <c r="B3237" s="53" t="s">
        <v>127</v>
      </c>
      <c r="C3237" s="46" t="s">
        <v>15</v>
      </c>
      <c r="D3237" s="46" t="s">
        <v>43</v>
      </c>
      <c r="E3237" s="46" t="s">
        <v>44</v>
      </c>
      <c r="F3237" s="46" t="s">
        <v>7478</v>
      </c>
      <c r="G3237" s="46" t="n">
        <f aca="false">+593995733819</f>
        <v>593995733819</v>
      </c>
      <c r="H3237" s="46" t="s">
        <v>7479</v>
      </c>
      <c r="I3237" s="46"/>
      <c r="J3237" s="1"/>
      <c r="K3237" s="1" t="s">
        <v>2006</v>
      </c>
      <c r="L3237" s="1"/>
      <c r="M3237" s="1"/>
      <c r="N3237" s="1"/>
      <c r="O3237" s="1"/>
      <c r="P3237" s="6"/>
      <c r="Q3237" s="1"/>
      <c r="R3237" s="1"/>
      <c r="S3237" s="1"/>
      <c r="T3237" s="1"/>
      <c r="U3237" s="1"/>
      <c r="V3237" s="1"/>
      <c r="W3237" s="1"/>
      <c r="X3237" s="1"/>
      <c r="Y3237" s="1"/>
      <c r="Z3237" s="1"/>
    </row>
    <row r="3238" customFormat="false" ht="21.75" hidden="false" customHeight="true" outlineLevel="0" collapsed="false">
      <c r="A3238" s="4" t="n">
        <v>43507</v>
      </c>
      <c r="B3238" s="53" t="s">
        <v>127</v>
      </c>
      <c r="C3238" s="46" t="s">
        <v>15</v>
      </c>
      <c r="D3238" s="46" t="s">
        <v>43</v>
      </c>
      <c r="E3238" s="46" t="s">
        <v>44</v>
      </c>
      <c r="F3238" s="46" t="s">
        <v>7480</v>
      </c>
      <c r="G3238" s="46" t="n">
        <f aca="false">+5930987189024</f>
        <v>5930987189024</v>
      </c>
      <c r="H3238" s="46" t="s">
        <v>7481</v>
      </c>
      <c r="I3238" s="46"/>
      <c r="J3238" s="1"/>
      <c r="K3238" s="2" t="s">
        <v>6342</v>
      </c>
      <c r="L3238" s="1"/>
      <c r="M3238" s="1"/>
      <c r="N3238" s="1"/>
      <c r="O3238" s="1"/>
      <c r="P3238" s="6"/>
      <c r="Q3238" s="1"/>
      <c r="R3238" s="1"/>
      <c r="S3238" s="1"/>
      <c r="T3238" s="1"/>
      <c r="U3238" s="1"/>
      <c r="V3238" s="1"/>
      <c r="W3238" s="1"/>
      <c r="X3238" s="1"/>
      <c r="Y3238" s="1"/>
      <c r="Z3238" s="1"/>
    </row>
    <row r="3239" customFormat="false" ht="21.75" hidden="false" customHeight="true" outlineLevel="0" collapsed="false">
      <c r="A3239" s="4" t="n">
        <v>43507</v>
      </c>
      <c r="B3239" s="53" t="s">
        <v>127</v>
      </c>
      <c r="C3239" s="46" t="s">
        <v>15</v>
      </c>
      <c r="D3239" s="46" t="s">
        <v>43</v>
      </c>
      <c r="E3239" s="46" t="s">
        <v>44</v>
      </c>
      <c r="F3239" s="46" t="s">
        <v>7482</v>
      </c>
      <c r="G3239" s="46" t="n">
        <f aca="false">+5930984187368</f>
        <v>5930984187368</v>
      </c>
      <c r="H3239" s="46" t="s">
        <v>7483</v>
      </c>
      <c r="I3239" s="46"/>
      <c r="J3239" s="1"/>
      <c r="K3239" s="1" t="s">
        <v>21</v>
      </c>
      <c r="L3239" s="1"/>
      <c r="M3239" s="1"/>
      <c r="N3239" s="1"/>
      <c r="O3239" s="1"/>
      <c r="P3239" s="6"/>
      <c r="Q3239" s="1"/>
      <c r="R3239" s="1"/>
      <c r="S3239" s="1"/>
      <c r="T3239" s="1"/>
      <c r="U3239" s="1"/>
      <c r="V3239" s="1"/>
      <c r="W3239" s="1"/>
      <c r="X3239" s="1"/>
      <c r="Y3239" s="1"/>
      <c r="Z3239" s="1"/>
    </row>
    <row r="3240" customFormat="false" ht="21.75" hidden="false" customHeight="true" outlineLevel="0" collapsed="false">
      <c r="A3240" s="4" t="n">
        <v>43507</v>
      </c>
      <c r="B3240" s="53" t="s">
        <v>42</v>
      </c>
      <c r="C3240" s="46" t="s">
        <v>15</v>
      </c>
      <c r="D3240" s="46" t="s">
        <v>43</v>
      </c>
      <c r="E3240" s="46" t="s">
        <v>44</v>
      </c>
      <c r="F3240" s="46" t="s">
        <v>7484</v>
      </c>
      <c r="G3240" s="46" t="n">
        <f aca="false">+5930978697969</f>
        <v>5930978697969</v>
      </c>
      <c r="H3240" s="46" t="s">
        <v>7485</v>
      </c>
      <c r="I3240" s="46"/>
      <c r="J3240" s="1"/>
      <c r="K3240" s="1" t="s">
        <v>21</v>
      </c>
      <c r="L3240" s="1"/>
      <c r="M3240" s="1"/>
      <c r="N3240" s="1"/>
      <c r="O3240" s="1"/>
      <c r="P3240" s="6"/>
      <c r="Q3240" s="1"/>
      <c r="R3240" s="1"/>
      <c r="S3240" s="1"/>
      <c r="T3240" s="1"/>
      <c r="U3240" s="1"/>
      <c r="V3240" s="1"/>
      <c r="W3240" s="1"/>
      <c r="X3240" s="1"/>
      <c r="Y3240" s="1"/>
      <c r="Z3240" s="1"/>
    </row>
    <row r="3241" customFormat="false" ht="21.75" hidden="false" customHeight="true" outlineLevel="0" collapsed="false">
      <c r="A3241" s="4" t="n">
        <v>43507</v>
      </c>
      <c r="B3241" s="53" t="s">
        <v>42</v>
      </c>
      <c r="C3241" s="46" t="s">
        <v>15</v>
      </c>
      <c r="D3241" s="46" t="s">
        <v>43</v>
      </c>
      <c r="E3241" s="46" t="s">
        <v>44</v>
      </c>
      <c r="F3241" s="46" t="s">
        <v>7486</v>
      </c>
      <c r="G3241" s="46" t="n">
        <f aca="false">+593991688730</f>
        <v>593991688730</v>
      </c>
      <c r="H3241" s="46" t="s">
        <v>7487</v>
      </c>
      <c r="I3241" s="46"/>
      <c r="J3241" s="1"/>
      <c r="K3241" s="1" t="s">
        <v>21</v>
      </c>
      <c r="L3241" s="1"/>
      <c r="M3241" s="1"/>
      <c r="N3241" s="1"/>
      <c r="O3241" s="1"/>
      <c r="P3241" s="6"/>
      <c r="Q3241" s="1"/>
      <c r="R3241" s="1"/>
      <c r="S3241" s="1"/>
      <c r="T3241" s="1"/>
      <c r="U3241" s="1"/>
      <c r="V3241" s="1"/>
      <c r="W3241" s="1"/>
      <c r="X3241" s="1"/>
      <c r="Y3241" s="1"/>
      <c r="Z3241" s="1"/>
    </row>
    <row r="3242" customFormat="false" ht="21.75" hidden="false" customHeight="true" outlineLevel="0" collapsed="false">
      <c r="A3242" s="4" t="n">
        <v>43507</v>
      </c>
      <c r="B3242" s="53" t="s">
        <v>42</v>
      </c>
      <c r="C3242" s="46" t="s">
        <v>15</v>
      </c>
      <c r="D3242" s="46" t="s">
        <v>43</v>
      </c>
      <c r="E3242" s="46" t="s">
        <v>44</v>
      </c>
      <c r="F3242" s="46" t="s">
        <v>4696</v>
      </c>
      <c r="G3242" s="46" t="n">
        <f aca="false">+593986801246</f>
        <v>593986801246</v>
      </c>
      <c r="H3242" s="46" t="s">
        <v>4697</v>
      </c>
      <c r="I3242" s="46"/>
      <c r="J3242" s="1"/>
      <c r="K3242" s="1" t="s">
        <v>7488</v>
      </c>
      <c r="L3242" s="1"/>
      <c r="M3242" s="1"/>
      <c r="N3242" s="1"/>
      <c r="O3242" s="1"/>
      <c r="P3242" s="6"/>
      <c r="Q3242" s="1"/>
      <c r="R3242" s="1"/>
      <c r="S3242" s="1"/>
      <c r="T3242" s="1"/>
      <c r="U3242" s="1"/>
      <c r="V3242" s="1"/>
      <c r="W3242" s="1"/>
      <c r="X3242" s="1"/>
      <c r="Y3242" s="1"/>
      <c r="Z3242" s="1"/>
    </row>
    <row r="3243" customFormat="false" ht="21.75" hidden="false" customHeight="true" outlineLevel="0" collapsed="false">
      <c r="A3243" s="4" t="n">
        <v>43507</v>
      </c>
      <c r="B3243" s="53" t="s">
        <v>415</v>
      </c>
      <c r="C3243" s="46" t="s">
        <v>15</v>
      </c>
      <c r="D3243" s="46" t="s">
        <v>43</v>
      </c>
      <c r="E3243" s="46" t="s">
        <v>44</v>
      </c>
      <c r="F3243" s="46" t="s">
        <v>7489</v>
      </c>
      <c r="G3243" s="46" t="n">
        <f aca="false">+593997216389</f>
        <v>593997216389</v>
      </c>
      <c r="H3243" s="46" t="s">
        <v>7490</v>
      </c>
      <c r="I3243" s="46"/>
      <c r="J3243" s="1"/>
      <c r="K3243" s="1" t="s">
        <v>21</v>
      </c>
      <c r="L3243" s="1"/>
      <c r="M3243" s="1"/>
      <c r="N3243" s="1"/>
      <c r="O3243" s="1"/>
      <c r="P3243" s="6"/>
      <c r="Q3243" s="1"/>
      <c r="R3243" s="1"/>
      <c r="S3243" s="1"/>
      <c r="T3243" s="1"/>
      <c r="U3243" s="1"/>
      <c r="V3243" s="1"/>
      <c r="W3243" s="1"/>
      <c r="X3243" s="1"/>
      <c r="Y3243" s="1"/>
      <c r="Z3243" s="1"/>
    </row>
    <row r="3244" customFormat="false" ht="21.75" hidden="false" customHeight="true" outlineLevel="0" collapsed="false">
      <c r="A3244" s="4" t="n">
        <v>43507</v>
      </c>
      <c r="B3244" s="53" t="s">
        <v>415</v>
      </c>
      <c r="C3244" s="46" t="s">
        <v>15</v>
      </c>
      <c r="D3244" s="46" t="s">
        <v>43</v>
      </c>
      <c r="E3244" s="46" t="s">
        <v>44</v>
      </c>
      <c r="F3244" s="46" t="s">
        <v>7491</v>
      </c>
      <c r="G3244" s="46" t="n">
        <f aca="false">+593997356577</f>
        <v>593997356577</v>
      </c>
      <c r="H3244" s="46" t="s">
        <v>7492</v>
      </c>
      <c r="I3244" s="46"/>
      <c r="J3244" s="1"/>
      <c r="K3244" s="1" t="s">
        <v>21</v>
      </c>
      <c r="L3244" s="1"/>
      <c r="M3244" s="1"/>
      <c r="N3244" s="1"/>
      <c r="O3244" s="1"/>
      <c r="P3244" s="6"/>
      <c r="Q3244" s="1"/>
      <c r="R3244" s="1"/>
      <c r="S3244" s="1"/>
      <c r="T3244" s="1"/>
      <c r="U3244" s="1"/>
      <c r="V3244" s="1"/>
      <c r="W3244" s="1"/>
      <c r="X3244" s="1"/>
      <c r="Y3244" s="1"/>
      <c r="Z3244" s="1"/>
    </row>
    <row r="3245" customFormat="false" ht="21.75" hidden="false" customHeight="true" outlineLevel="0" collapsed="false">
      <c r="A3245" s="4" t="n">
        <v>43507</v>
      </c>
      <c r="B3245" s="53" t="s">
        <v>178</v>
      </c>
      <c r="C3245" s="46" t="s">
        <v>15</v>
      </c>
      <c r="D3245" s="46" t="s">
        <v>43</v>
      </c>
      <c r="E3245" s="46" t="s">
        <v>44</v>
      </c>
      <c r="F3245" s="46" t="s">
        <v>7493</v>
      </c>
      <c r="G3245" s="46" t="n">
        <f aca="false">+593980974457</f>
        <v>593980974457</v>
      </c>
      <c r="H3245" s="46" t="s">
        <v>7494</v>
      </c>
      <c r="I3245" s="46"/>
      <c r="J3245" s="1"/>
      <c r="K3245" s="1" t="s">
        <v>5086</v>
      </c>
      <c r="L3245" s="1"/>
      <c r="M3245" s="1"/>
      <c r="N3245" s="1"/>
      <c r="O3245" s="1"/>
      <c r="P3245" s="6"/>
      <c r="Q3245" s="1"/>
      <c r="R3245" s="1"/>
      <c r="S3245" s="1"/>
      <c r="T3245" s="1"/>
      <c r="U3245" s="1"/>
      <c r="V3245" s="1"/>
      <c r="W3245" s="1"/>
      <c r="X3245" s="1"/>
      <c r="Y3245" s="1"/>
      <c r="Z3245" s="1"/>
    </row>
    <row r="3246" customFormat="false" ht="21.75" hidden="false" customHeight="true" outlineLevel="0" collapsed="false">
      <c r="A3246" s="4" t="n">
        <v>43507</v>
      </c>
      <c r="B3246" s="53" t="s">
        <v>178</v>
      </c>
      <c r="C3246" s="46" t="s">
        <v>15</v>
      </c>
      <c r="D3246" s="46" t="s">
        <v>43</v>
      </c>
      <c r="E3246" s="46" t="s">
        <v>44</v>
      </c>
      <c r="F3246" s="46" t="s">
        <v>7495</v>
      </c>
      <c r="G3246" s="46" t="n">
        <f aca="false">+593993707068</f>
        <v>593993707068</v>
      </c>
      <c r="H3246" s="46" t="s">
        <v>7496</v>
      </c>
      <c r="I3246" s="46"/>
      <c r="J3246" s="1"/>
      <c r="K3246" s="1" t="s">
        <v>1030</v>
      </c>
      <c r="L3246" s="1"/>
      <c r="M3246" s="1"/>
      <c r="N3246" s="1"/>
      <c r="O3246" s="1"/>
      <c r="P3246" s="6"/>
      <c r="Q3246" s="1"/>
      <c r="R3246" s="1"/>
      <c r="S3246" s="1"/>
      <c r="T3246" s="1"/>
      <c r="U3246" s="1"/>
      <c r="V3246" s="1"/>
      <c r="W3246" s="1"/>
      <c r="X3246" s="1"/>
      <c r="Y3246" s="1"/>
      <c r="Z3246" s="1"/>
    </row>
    <row r="3247" customFormat="false" ht="21.75" hidden="false" customHeight="true" outlineLevel="0" collapsed="false">
      <c r="A3247" s="4" t="n">
        <v>43507</v>
      </c>
      <c r="B3247" s="53" t="s">
        <v>178</v>
      </c>
      <c r="C3247" s="46" t="s">
        <v>15</v>
      </c>
      <c r="D3247" s="46" t="s">
        <v>43</v>
      </c>
      <c r="E3247" s="46" t="s">
        <v>44</v>
      </c>
      <c r="F3247" s="46" t="s">
        <v>7497</v>
      </c>
      <c r="G3247" s="46" t="n">
        <f aca="false">+593995482123</f>
        <v>593995482123</v>
      </c>
      <c r="H3247" s="46" t="s">
        <v>7498</v>
      </c>
      <c r="I3247" s="46"/>
      <c r="J3247" s="1"/>
      <c r="K3247" s="1" t="s">
        <v>7499</v>
      </c>
      <c r="L3247" s="1"/>
      <c r="M3247" s="1"/>
      <c r="N3247" s="1"/>
      <c r="O3247" s="1"/>
      <c r="P3247" s="6"/>
      <c r="Q3247" s="1"/>
      <c r="R3247" s="1"/>
      <c r="S3247" s="1"/>
      <c r="T3247" s="1"/>
      <c r="U3247" s="1"/>
      <c r="V3247" s="1"/>
      <c r="W3247" s="1"/>
      <c r="X3247" s="1"/>
      <c r="Y3247" s="1"/>
      <c r="Z3247" s="1"/>
    </row>
    <row r="3248" customFormat="false" ht="21.75" hidden="false" customHeight="true" outlineLevel="0" collapsed="false">
      <c r="A3248" s="4" t="n">
        <v>43507</v>
      </c>
      <c r="B3248" s="53" t="s">
        <v>81</v>
      </c>
      <c r="C3248" s="46" t="s">
        <v>15</v>
      </c>
      <c r="D3248" s="46" t="s">
        <v>43</v>
      </c>
      <c r="E3248" s="46" t="s">
        <v>44</v>
      </c>
      <c r="F3248" s="46" t="s">
        <v>7500</v>
      </c>
      <c r="G3248" s="46" t="n">
        <f aca="false">+5930984701829</f>
        <v>5930984701829</v>
      </c>
      <c r="H3248" s="46" t="s">
        <v>7501</v>
      </c>
      <c r="I3248" s="46"/>
      <c r="J3248" s="1"/>
      <c r="K3248" s="1" t="s">
        <v>21</v>
      </c>
      <c r="L3248" s="1"/>
      <c r="M3248" s="1"/>
      <c r="N3248" s="1"/>
      <c r="O3248" s="1"/>
      <c r="P3248" s="6"/>
      <c r="Q3248" s="1"/>
      <c r="R3248" s="1"/>
      <c r="S3248" s="1"/>
      <c r="T3248" s="1"/>
      <c r="U3248" s="1"/>
      <c r="V3248" s="1"/>
      <c r="W3248" s="1"/>
      <c r="X3248" s="1"/>
      <c r="Y3248" s="1"/>
      <c r="Z3248" s="1"/>
    </row>
    <row r="3249" customFormat="false" ht="21.75" hidden="false" customHeight="true" outlineLevel="0" collapsed="false">
      <c r="A3249" s="4" t="n">
        <v>43507</v>
      </c>
      <c r="B3249" s="53" t="s">
        <v>81</v>
      </c>
      <c r="C3249" s="46" t="s">
        <v>15</v>
      </c>
      <c r="D3249" s="46" t="s">
        <v>43</v>
      </c>
      <c r="E3249" s="46" t="s">
        <v>44</v>
      </c>
      <c r="F3249" s="46" t="s">
        <v>7502</v>
      </c>
      <c r="G3249" s="46" t="n">
        <f aca="false">+5930979155930</f>
        <v>5930979155930</v>
      </c>
      <c r="H3249" s="46" t="s">
        <v>7503</v>
      </c>
      <c r="I3249" s="46"/>
      <c r="J3249" s="1"/>
      <c r="K3249" s="1" t="s">
        <v>21</v>
      </c>
      <c r="L3249" s="1"/>
      <c r="M3249" s="1"/>
      <c r="N3249" s="1"/>
      <c r="O3249" s="1"/>
      <c r="P3249" s="6"/>
      <c r="Q3249" s="1"/>
      <c r="R3249" s="1"/>
      <c r="S3249" s="1"/>
      <c r="T3249" s="1"/>
      <c r="U3249" s="1"/>
      <c r="V3249" s="1"/>
      <c r="W3249" s="1"/>
      <c r="X3249" s="1"/>
      <c r="Y3249" s="1"/>
      <c r="Z3249" s="1"/>
    </row>
    <row r="3250" customFormat="false" ht="21.75" hidden="false" customHeight="true" outlineLevel="0" collapsed="false">
      <c r="A3250" s="4" t="n">
        <v>43507</v>
      </c>
      <c r="B3250" s="53" t="s">
        <v>81</v>
      </c>
      <c r="C3250" s="46" t="s">
        <v>15</v>
      </c>
      <c r="D3250" s="46" t="s">
        <v>43</v>
      </c>
      <c r="E3250" s="46" t="s">
        <v>44</v>
      </c>
      <c r="F3250" s="46" t="s">
        <v>7504</v>
      </c>
      <c r="G3250" s="46" t="n">
        <f aca="false">+593969882581</f>
        <v>593969882581</v>
      </c>
      <c r="H3250" s="46" t="s">
        <v>7505</v>
      </c>
      <c r="I3250" s="46"/>
      <c r="J3250" s="1"/>
      <c r="K3250" s="1" t="s">
        <v>21</v>
      </c>
      <c r="L3250" s="1"/>
      <c r="M3250" s="1"/>
      <c r="N3250" s="1"/>
      <c r="O3250" s="1"/>
      <c r="P3250" s="6"/>
      <c r="Q3250" s="1"/>
      <c r="R3250" s="1"/>
      <c r="S3250" s="1"/>
      <c r="T3250" s="1"/>
      <c r="U3250" s="1"/>
      <c r="V3250" s="1"/>
      <c r="W3250" s="1"/>
      <c r="X3250" s="1"/>
      <c r="Y3250" s="1"/>
      <c r="Z3250" s="1"/>
    </row>
    <row r="3251" customFormat="false" ht="21.75" hidden="false" customHeight="true" outlineLevel="0" collapsed="false">
      <c r="A3251" s="4" t="n">
        <v>43507</v>
      </c>
      <c r="B3251" s="53" t="s">
        <v>81</v>
      </c>
      <c r="C3251" s="46" t="s">
        <v>15</v>
      </c>
      <c r="D3251" s="46" t="s">
        <v>43</v>
      </c>
      <c r="E3251" s="46" t="s">
        <v>44</v>
      </c>
      <c r="F3251" s="46" t="s">
        <v>7506</v>
      </c>
      <c r="G3251" s="46" t="n">
        <f aca="false">+593969850380</f>
        <v>593969850380</v>
      </c>
      <c r="H3251" s="46" t="s">
        <v>7507</v>
      </c>
      <c r="I3251" s="46"/>
      <c r="J3251" s="1"/>
      <c r="K3251" s="1" t="s">
        <v>21</v>
      </c>
      <c r="L3251" s="1"/>
      <c r="M3251" s="1"/>
      <c r="N3251" s="1"/>
      <c r="O3251" s="1"/>
      <c r="P3251" s="6"/>
      <c r="Q3251" s="1"/>
      <c r="R3251" s="1"/>
      <c r="S3251" s="1"/>
      <c r="T3251" s="1"/>
      <c r="U3251" s="1"/>
      <c r="V3251" s="1"/>
      <c r="W3251" s="1"/>
      <c r="X3251" s="1"/>
      <c r="Y3251" s="1"/>
      <c r="Z3251" s="1"/>
    </row>
    <row r="3252" customFormat="false" ht="21.75" hidden="false" customHeight="true" outlineLevel="0" collapsed="false">
      <c r="A3252" s="4" t="n">
        <v>43507</v>
      </c>
      <c r="B3252" s="53" t="s">
        <v>81</v>
      </c>
      <c r="C3252" s="46" t="s">
        <v>15</v>
      </c>
      <c r="D3252" s="46" t="s">
        <v>43</v>
      </c>
      <c r="E3252" s="46" t="s">
        <v>44</v>
      </c>
      <c r="F3252" s="46" t="s">
        <v>7508</v>
      </c>
      <c r="G3252" s="46" t="n">
        <f aca="false">+5930969922831</f>
        <v>5930969922831</v>
      </c>
      <c r="H3252" s="46" t="s">
        <v>7509</v>
      </c>
      <c r="I3252" s="46"/>
      <c r="J3252" s="1"/>
      <c r="K3252" s="1" t="s">
        <v>21</v>
      </c>
      <c r="L3252" s="1"/>
      <c r="M3252" s="1"/>
      <c r="N3252" s="1"/>
      <c r="O3252" s="1"/>
      <c r="P3252" s="6"/>
      <c r="Q3252" s="1"/>
      <c r="R3252" s="1"/>
      <c r="S3252" s="1"/>
      <c r="T3252" s="1"/>
      <c r="U3252" s="1"/>
      <c r="V3252" s="1"/>
      <c r="W3252" s="1"/>
      <c r="X3252" s="1"/>
      <c r="Y3252" s="1"/>
      <c r="Z3252" s="1"/>
    </row>
    <row r="3253" customFormat="false" ht="21.75" hidden="false" customHeight="true" outlineLevel="0" collapsed="false">
      <c r="A3253" s="4" t="n">
        <v>43507</v>
      </c>
      <c r="B3253" s="53" t="s">
        <v>81</v>
      </c>
      <c r="C3253" s="46" t="s">
        <v>15</v>
      </c>
      <c r="D3253" s="46" t="s">
        <v>43</v>
      </c>
      <c r="E3253" s="46" t="s">
        <v>44</v>
      </c>
      <c r="F3253" s="46" t="s">
        <v>7510</v>
      </c>
      <c r="G3253" s="46" t="n">
        <f aca="false">+5930996154496</f>
        <v>5930996154496</v>
      </c>
      <c r="H3253" s="46" t="s">
        <v>7511</v>
      </c>
      <c r="I3253" s="46"/>
      <c r="J3253" s="1"/>
      <c r="K3253" s="1" t="s">
        <v>21</v>
      </c>
      <c r="L3253" s="1"/>
      <c r="M3253" s="1"/>
      <c r="N3253" s="1"/>
      <c r="O3253" s="1"/>
      <c r="P3253" s="6"/>
      <c r="Q3253" s="1"/>
      <c r="R3253" s="1"/>
      <c r="S3253" s="1"/>
      <c r="T3253" s="1"/>
      <c r="U3253" s="1"/>
      <c r="V3253" s="1"/>
      <c r="W3253" s="1"/>
      <c r="X3253" s="1"/>
      <c r="Y3253" s="1"/>
      <c r="Z3253" s="1"/>
    </row>
    <row r="3254" customFormat="false" ht="21.75" hidden="false" customHeight="true" outlineLevel="0" collapsed="false">
      <c r="A3254" s="4" t="n">
        <v>43507</v>
      </c>
      <c r="B3254" s="53" t="s">
        <v>166</v>
      </c>
      <c r="C3254" s="46" t="s">
        <v>15</v>
      </c>
      <c r="D3254" s="46" t="s">
        <v>16</v>
      </c>
      <c r="E3254" s="46" t="s">
        <v>17</v>
      </c>
      <c r="F3254" s="46" t="s">
        <v>7512</v>
      </c>
      <c r="G3254" s="46" t="n">
        <f aca="false">+5930994934192</f>
        <v>5930994934192</v>
      </c>
      <c r="H3254" s="46" t="s">
        <v>7513</v>
      </c>
      <c r="I3254" s="46"/>
      <c r="J3254" s="1"/>
      <c r="K3254" s="1" t="s">
        <v>4056</v>
      </c>
      <c r="L3254" s="1"/>
      <c r="M3254" s="1"/>
      <c r="N3254" s="1"/>
      <c r="O3254" s="1"/>
      <c r="P3254" s="6"/>
      <c r="Q3254" s="1"/>
      <c r="R3254" s="1"/>
      <c r="S3254" s="1"/>
      <c r="T3254" s="1"/>
      <c r="U3254" s="1"/>
      <c r="V3254" s="1"/>
      <c r="W3254" s="1"/>
      <c r="X3254" s="1"/>
      <c r="Y3254" s="1"/>
      <c r="Z3254" s="1"/>
    </row>
    <row r="3255" customFormat="false" ht="21.75" hidden="false" customHeight="true" outlineLevel="0" collapsed="false">
      <c r="A3255" s="4" t="n">
        <v>43507</v>
      </c>
      <c r="B3255" s="53" t="s">
        <v>166</v>
      </c>
      <c r="C3255" s="46" t="s">
        <v>15</v>
      </c>
      <c r="D3255" s="46" t="s">
        <v>16</v>
      </c>
      <c r="E3255" s="46" t="s">
        <v>17</v>
      </c>
      <c r="F3255" s="46" t="s">
        <v>7514</v>
      </c>
      <c r="G3255" s="46" t="n">
        <f aca="false">+593959863728</f>
        <v>593959863728</v>
      </c>
      <c r="H3255" s="46" t="s">
        <v>7515</v>
      </c>
      <c r="I3255" s="46"/>
      <c r="J3255" s="1"/>
      <c r="K3255" s="1" t="s">
        <v>7516</v>
      </c>
      <c r="L3255" s="1"/>
      <c r="M3255" s="1"/>
      <c r="N3255" s="1"/>
      <c r="O3255" s="1"/>
      <c r="P3255" s="6"/>
      <c r="Q3255" s="1"/>
      <c r="R3255" s="1"/>
      <c r="S3255" s="1"/>
      <c r="T3255" s="1"/>
      <c r="U3255" s="1"/>
      <c r="V3255" s="1"/>
      <c r="W3255" s="1"/>
      <c r="X3255" s="1"/>
      <c r="Y3255" s="1"/>
      <c r="Z3255" s="1"/>
    </row>
    <row r="3256" customFormat="false" ht="21.75" hidden="false" customHeight="true" outlineLevel="0" collapsed="false">
      <c r="A3256" s="4" t="n">
        <v>43507</v>
      </c>
      <c r="B3256" s="53" t="s">
        <v>86</v>
      </c>
      <c r="C3256" s="46" t="s">
        <v>15</v>
      </c>
      <c r="D3256" s="46" t="s">
        <v>16</v>
      </c>
      <c r="E3256" s="46" t="s">
        <v>17</v>
      </c>
      <c r="F3256" s="46" t="s">
        <v>7517</v>
      </c>
      <c r="G3256" s="46" t="n">
        <f aca="false">+593995401091</f>
        <v>593995401091</v>
      </c>
      <c r="H3256" s="46" t="s">
        <v>7518</v>
      </c>
      <c r="I3256" s="46"/>
      <c r="J3256" s="1"/>
      <c r="K3256" s="1" t="s">
        <v>4056</v>
      </c>
      <c r="L3256" s="1"/>
      <c r="M3256" s="1"/>
      <c r="N3256" s="1"/>
      <c r="O3256" s="1"/>
      <c r="P3256" s="6"/>
      <c r="Q3256" s="1"/>
      <c r="R3256" s="1"/>
      <c r="S3256" s="1"/>
      <c r="T3256" s="1"/>
      <c r="U3256" s="1"/>
      <c r="V3256" s="1"/>
      <c r="W3256" s="1"/>
      <c r="X3256" s="1"/>
      <c r="Y3256" s="1"/>
      <c r="Z3256" s="1"/>
    </row>
    <row r="3257" customFormat="false" ht="21.75" hidden="false" customHeight="true" outlineLevel="0" collapsed="false">
      <c r="A3257" s="4" t="n">
        <v>43507</v>
      </c>
      <c r="B3257" s="53" t="s">
        <v>86</v>
      </c>
      <c r="C3257" s="46" t="s">
        <v>15</v>
      </c>
      <c r="D3257" s="46" t="s">
        <v>16</v>
      </c>
      <c r="E3257" s="46" t="s">
        <v>17</v>
      </c>
      <c r="F3257" s="46" t="s">
        <v>7519</v>
      </c>
      <c r="G3257" s="46" t="n">
        <f aca="false">+5930998922469</f>
        <v>5930998922469</v>
      </c>
      <c r="H3257" s="46" t="s">
        <v>7520</v>
      </c>
      <c r="I3257" s="46"/>
      <c r="J3257" s="1"/>
      <c r="K3257" s="1" t="s">
        <v>4056</v>
      </c>
      <c r="L3257" s="1"/>
      <c r="M3257" s="1"/>
      <c r="N3257" s="1"/>
      <c r="O3257" s="1"/>
      <c r="P3257" s="6"/>
      <c r="Q3257" s="1"/>
      <c r="R3257" s="1"/>
      <c r="S3257" s="1"/>
      <c r="T3257" s="1"/>
      <c r="U3257" s="1"/>
      <c r="V3257" s="1"/>
      <c r="W3257" s="1"/>
      <c r="X3257" s="1"/>
      <c r="Y3257" s="1"/>
      <c r="Z3257" s="1"/>
    </row>
    <row r="3258" customFormat="false" ht="21.75" hidden="false" customHeight="true" outlineLevel="0" collapsed="false">
      <c r="A3258" s="4" t="n">
        <v>43507</v>
      </c>
      <c r="B3258" s="53" t="s">
        <v>86</v>
      </c>
      <c r="C3258" s="46" t="s">
        <v>15</v>
      </c>
      <c r="D3258" s="46" t="s">
        <v>16</v>
      </c>
      <c r="E3258" s="46" t="s">
        <v>17</v>
      </c>
      <c r="F3258" s="46" t="s">
        <v>7521</v>
      </c>
      <c r="G3258" s="46" t="n">
        <f aca="false">+593979380214</f>
        <v>593979380214</v>
      </c>
      <c r="H3258" s="46" t="s">
        <v>7522</v>
      </c>
      <c r="I3258" s="46"/>
      <c r="J3258" s="1"/>
      <c r="K3258" s="1" t="s">
        <v>3372</v>
      </c>
      <c r="L3258" s="1"/>
      <c r="M3258" s="1"/>
      <c r="N3258" s="1"/>
      <c r="O3258" s="1"/>
      <c r="P3258" s="6"/>
      <c r="Q3258" s="1"/>
      <c r="R3258" s="1"/>
      <c r="S3258" s="1"/>
      <c r="T3258" s="1"/>
      <c r="U3258" s="1"/>
      <c r="V3258" s="1"/>
      <c r="W3258" s="1"/>
      <c r="X3258" s="1"/>
      <c r="Y3258" s="1"/>
      <c r="Z3258" s="1"/>
    </row>
    <row r="3259" customFormat="false" ht="21.75" hidden="false" customHeight="true" outlineLevel="0" collapsed="false">
      <c r="A3259" s="4" t="n">
        <v>43507</v>
      </c>
      <c r="B3259" s="53" t="s">
        <v>108</v>
      </c>
      <c r="C3259" s="46" t="s">
        <v>15</v>
      </c>
      <c r="D3259" s="46" t="s">
        <v>16</v>
      </c>
      <c r="E3259" s="46" t="s">
        <v>109</v>
      </c>
      <c r="F3259" s="46" t="s">
        <v>7523</v>
      </c>
      <c r="G3259" s="46" t="n">
        <f aca="false">+5930985819715</f>
        <v>5930985819715</v>
      </c>
      <c r="H3259" s="46" t="s">
        <v>7524</v>
      </c>
      <c r="I3259" s="46"/>
      <c r="J3259" s="1"/>
      <c r="K3259" s="1" t="s">
        <v>7525</v>
      </c>
      <c r="L3259" s="1"/>
      <c r="M3259" s="1"/>
      <c r="N3259" s="1"/>
      <c r="O3259" s="1"/>
      <c r="P3259" s="6"/>
      <c r="Q3259" s="1"/>
      <c r="R3259" s="1"/>
      <c r="S3259" s="1"/>
      <c r="T3259" s="1"/>
      <c r="U3259" s="1"/>
      <c r="V3259" s="1"/>
      <c r="W3259" s="1"/>
      <c r="X3259" s="1"/>
      <c r="Y3259" s="1"/>
      <c r="Z3259" s="1"/>
    </row>
    <row r="3260" customFormat="false" ht="21.75" hidden="false" customHeight="true" outlineLevel="0" collapsed="false">
      <c r="A3260" s="4" t="n">
        <v>43507</v>
      </c>
      <c r="B3260" s="53" t="s">
        <v>911</v>
      </c>
      <c r="C3260" s="46" t="s">
        <v>15</v>
      </c>
      <c r="D3260" s="46" t="s">
        <v>16</v>
      </c>
      <c r="E3260" s="46" t="s">
        <v>17</v>
      </c>
      <c r="F3260" s="46" t="s">
        <v>7526</v>
      </c>
      <c r="G3260" s="46" t="n">
        <f aca="false">+593983609616</f>
        <v>593983609616</v>
      </c>
      <c r="H3260" s="46" t="s">
        <v>7527</v>
      </c>
      <c r="I3260" s="46"/>
      <c r="J3260" s="1"/>
      <c r="K3260" s="1" t="s">
        <v>3372</v>
      </c>
      <c r="L3260" s="1"/>
      <c r="M3260" s="1"/>
      <c r="N3260" s="1"/>
      <c r="O3260" s="1"/>
      <c r="P3260" s="6"/>
      <c r="Q3260" s="1"/>
      <c r="R3260" s="1"/>
      <c r="S3260" s="1"/>
      <c r="T3260" s="1"/>
      <c r="U3260" s="1"/>
      <c r="V3260" s="1"/>
      <c r="W3260" s="1"/>
      <c r="X3260" s="1"/>
      <c r="Y3260" s="1"/>
      <c r="Z3260" s="1"/>
    </row>
    <row r="3261" customFormat="false" ht="21.75" hidden="false" customHeight="true" outlineLevel="0" collapsed="false">
      <c r="A3261" s="4" t="n">
        <v>43507</v>
      </c>
      <c r="B3261" s="53" t="s">
        <v>14</v>
      </c>
      <c r="C3261" s="46" t="s">
        <v>15</v>
      </c>
      <c r="D3261" s="46" t="s">
        <v>16</v>
      </c>
      <c r="E3261" s="46" t="s">
        <v>17</v>
      </c>
      <c r="F3261" s="46" t="s">
        <v>7528</v>
      </c>
      <c r="G3261" s="46" t="n">
        <f aca="false">+593987606408</f>
        <v>593987606408</v>
      </c>
      <c r="H3261" s="46" t="s">
        <v>7529</v>
      </c>
      <c r="I3261" s="46"/>
      <c r="J3261" s="1"/>
      <c r="K3261" s="1" t="s">
        <v>3372</v>
      </c>
      <c r="L3261" s="1"/>
      <c r="M3261" s="1"/>
      <c r="N3261" s="1"/>
      <c r="O3261" s="1"/>
      <c r="P3261" s="6"/>
      <c r="Q3261" s="1"/>
      <c r="R3261" s="1"/>
      <c r="S3261" s="1"/>
      <c r="T3261" s="1"/>
      <c r="U3261" s="1"/>
      <c r="V3261" s="1"/>
      <c r="W3261" s="1"/>
      <c r="X3261" s="1"/>
      <c r="Y3261" s="1"/>
      <c r="Z3261" s="1"/>
    </row>
    <row r="3262" customFormat="false" ht="21.75" hidden="false" customHeight="true" outlineLevel="0" collapsed="false">
      <c r="A3262" s="4" t="n">
        <v>43507</v>
      </c>
      <c r="B3262" s="53" t="s">
        <v>14</v>
      </c>
      <c r="C3262" s="46" t="s">
        <v>15</v>
      </c>
      <c r="D3262" s="46" t="s">
        <v>16</v>
      </c>
      <c r="E3262" s="46" t="s">
        <v>17</v>
      </c>
      <c r="F3262" s="46" t="s">
        <v>7530</v>
      </c>
      <c r="G3262" s="46" t="n">
        <f aca="false">+5930999644987</f>
        <v>5930999644987</v>
      </c>
      <c r="H3262" s="46" t="s">
        <v>7531</v>
      </c>
      <c r="I3262" s="46"/>
      <c r="J3262" s="1"/>
      <c r="K3262" s="1" t="s">
        <v>7532</v>
      </c>
      <c r="L3262" s="1"/>
      <c r="M3262" s="1"/>
      <c r="N3262" s="1"/>
      <c r="O3262" s="1"/>
      <c r="P3262" s="6"/>
      <c r="Q3262" s="1"/>
      <c r="R3262" s="1"/>
      <c r="S3262" s="1"/>
      <c r="T3262" s="1"/>
      <c r="U3262" s="1"/>
      <c r="V3262" s="1"/>
      <c r="W3262" s="1"/>
      <c r="X3262" s="1"/>
      <c r="Y3262" s="1"/>
      <c r="Z3262" s="1"/>
    </row>
    <row r="3263" customFormat="false" ht="21.75" hidden="false" customHeight="true" outlineLevel="0" collapsed="false">
      <c r="A3263" s="4" t="n">
        <v>43507</v>
      </c>
      <c r="B3263" s="53" t="s">
        <v>14</v>
      </c>
      <c r="C3263" s="46" t="s">
        <v>15</v>
      </c>
      <c r="D3263" s="46" t="s">
        <v>16</v>
      </c>
      <c r="E3263" s="46" t="s">
        <v>17</v>
      </c>
      <c r="F3263" s="46" t="s">
        <v>7533</v>
      </c>
      <c r="G3263" s="46" t="n">
        <f aca="false">+5930985791292</f>
        <v>5930985791292</v>
      </c>
      <c r="H3263" s="46" t="s">
        <v>7534</v>
      </c>
      <c r="I3263" s="46"/>
      <c r="J3263" s="1"/>
      <c r="K3263" s="1" t="s">
        <v>7535</v>
      </c>
      <c r="L3263" s="1"/>
      <c r="M3263" s="1"/>
      <c r="N3263" s="1"/>
      <c r="O3263" s="1"/>
      <c r="P3263" s="6"/>
      <c r="Q3263" s="1"/>
      <c r="R3263" s="1"/>
      <c r="S3263" s="1"/>
      <c r="T3263" s="1"/>
      <c r="U3263" s="1"/>
      <c r="V3263" s="1"/>
      <c r="W3263" s="1"/>
      <c r="X3263" s="1"/>
      <c r="Y3263" s="1"/>
      <c r="Z3263" s="1"/>
    </row>
    <row r="3264" customFormat="false" ht="21.75" hidden="false" customHeight="true" outlineLevel="0" collapsed="false">
      <c r="A3264" s="4" t="n">
        <v>43507</v>
      </c>
      <c r="B3264" s="53" t="s">
        <v>14</v>
      </c>
      <c r="C3264" s="46" t="s">
        <v>15</v>
      </c>
      <c r="D3264" s="46" t="s">
        <v>16</v>
      </c>
      <c r="E3264" s="46" t="s">
        <v>17</v>
      </c>
      <c r="F3264" s="46" t="s">
        <v>7536</v>
      </c>
      <c r="G3264" s="46" t="n">
        <f aca="false">+593993318655</f>
        <v>593993318655</v>
      </c>
      <c r="H3264" s="46" t="s">
        <v>7537</v>
      </c>
      <c r="I3264" s="46"/>
      <c r="J3264" s="1"/>
      <c r="K3264" s="1" t="s">
        <v>7535</v>
      </c>
      <c r="L3264" s="1"/>
      <c r="M3264" s="1"/>
      <c r="N3264" s="1"/>
      <c r="O3264" s="1"/>
      <c r="P3264" s="6"/>
      <c r="Q3264" s="1"/>
      <c r="R3264" s="1"/>
      <c r="S3264" s="1"/>
      <c r="T3264" s="1"/>
      <c r="U3264" s="1"/>
      <c r="V3264" s="1"/>
      <c r="W3264" s="1"/>
      <c r="X3264" s="1"/>
      <c r="Y3264" s="1"/>
      <c r="Z3264" s="1"/>
    </row>
    <row r="3265" customFormat="false" ht="21.75" hidden="false" customHeight="true" outlineLevel="0" collapsed="false">
      <c r="A3265" s="4" t="n">
        <v>43507</v>
      </c>
      <c r="B3265" s="53" t="s">
        <v>14</v>
      </c>
      <c r="C3265" s="46" t="s">
        <v>15</v>
      </c>
      <c r="D3265" s="46" t="s">
        <v>16</v>
      </c>
      <c r="E3265" s="46" t="s">
        <v>17</v>
      </c>
      <c r="F3265" s="46" t="s">
        <v>7538</v>
      </c>
      <c r="G3265" s="46" t="n">
        <f aca="false">+5930995264072</f>
        <v>5930995264072</v>
      </c>
      <c r="H3265" s="46" t="s">
        <v>7539</v>
      </c>
      <c r="I3265" s="46"/>
      <c r="J3265" s="1"/>
      <c r="K3265" s="1" t="s">
        <v>21</v>
      </c>
      <c r="L3265" s="1"/>
      <c r="M3265" s="1"/>
      <c r="N3265" s="1"/>
      <c r="O3265" s="1"/>
      <c r="P3265" s="6"/>
      <c r="Q3265" s="1"/>
      <c r="R3265" s="1"/>
      <c r="S3265" s="1"/>
      <c r="T3265" s="1"/>
      <c r="U3265" s="1"/>
      <c r="V3265" s="1"/>
      <c r="W3265" s="1"/>
      <c r="X3265" s="1"/>
      <c r="Y3265" s="1"/>
      <c r="Z3265" s="1"/>
    </row>
    <row r="3266" customFormat="false" ht="21.75" hidden="false" customHeight="true" outlineLevel="0" collapsed="false">
      <c r="A3266" s="4" t="n">
        <v>43507</v>
      </c>
      <c r="B3266" s="53" t="s">
        <v>48</v>
      </c>
      <c r="C3266" s="46" t="s">
        <v>15</v>
      </c>
      <c r="D3266" s="46" t="s">
        <v>43</v>
      </c>
      <c r="E3266" s="46" t="s">
        <v>109</v>
      </c>
      <c r="F3266" s="50" t="s">
        <v>7540</v>
      </c>
      <c r="G3266" s="51" t="n">
        <v>985406335</v>
      </c>
      <c r="H3266" s="52"/>
      <c r="I3266" s="52"/>
      <c r="J3266" s="1"/>
      <c r="K3266" s="1" t="s">
        <v>7541</v>
      </c>
      <c r="L3266" s="1"/>
      <c r="M3266" s="1"/>
      <c r="N3266" s="1"/>
      <c r="O3266" s="1"/>
      <c r="P3266" s="6"/>
      <c r="Q3266" s="1"/>
      <c r="R3266" s="1"/>
      <c r="S3266" s="1"/>
      <c r="T3266" s="1"/>
      <c r="U3266" s="1"/>
      <c r="V3266" s="1"/>
      <c r="W3266" s="1"/>
      <c r="X3266" s="1"/>
      <c r="Y3266" s="1"/>
      <c r="Z3266" s="1"/>
    </row>
    <row r="3267" customFormat="false" ht="21.75" hidden="false" customHeight="true" outlineLevel="0" collapsed="false">
      <c r="A3267" s="4" t="n">
        <v>43507</v>
      </c>
      <c r="B3267" s="53" t="s">
        <v>48</v>
      </c>
      <c r="C3267" s="46" t="s">
        <v>15</v>
      </c>
      <c r="D3267" s="46" t="s">
        <v>43</v>
      </c>
      <c r="E3267" s="46" t="s">
        <v>109</v>
      </c>
      <c r="F3267" s="50" t="s">
        <v>7542</v>
      </c>
      <c r="G3267" s="51" t="n">
        <v>981010743</v>
      </c>
      <c r="H3267" s="66" t="s">
        <v>7543</v>
      </c>
      <c r="I3267" s="66"/>
      <c r="J3267" s="1"/>
      <c r="K3267" s="1" t="s">
        <v>428</v>
      </c>
      <c r="L3267" s="1"/>
      <c r="M3267" s="1"/>
      <c r="N3267" s="1"/>
      <c r="O3267" s="1"/>
      <c r="P3267" s="6"/>
      <c r="Q3267" s="1"/>
      <c r="R3267" s="1"/>
      <c r="S3267" s="1"/>
      <c r="T3267" s="1"/>
      <c r="U3267" s="1"/>
      <c r="V3267" s="1"/>
      <c r="W3267" s="1"/>
      <c r="X3267" s="1"/>
      <c r="Y3267" s="1"/>
      <c r="Z3267" s="1"/>
    </row>
    <row r="3268" customFormat="false" ht="21.75" hidden="false" customHeight="true" outlineLevel="0" collapsed="false">
      <c r="A3268" s="4" t="n">
        <v>43507</v>
      </c>
      <c r="B3268" s="53" t="s">
        <v>48</v>
      </c>
      <c r="C3268" s="46" t="s">
        <v>15</v>
      </c>
      <c r="D3268" s="46" t="s">
        <v>43</v>
      </c>
      <c r="E3268" s="46" t="s">
        <v>109</v>
      </c>
      <c r="F3268" s="50" t="s">
        <v>7544</v>
      </c>
      <c r="G3268" s="51" t="n">
        <v>968671635</v>
      </c>
      <c r="H3268" s="52"/>
      <c r="I3268" s="52"/>
      <c r="J3268" s="1"/>
      <c r="K3268" s="1" t="s">
        <v>21</v>
      </c>
      <c r="L3268" s="1"/>
      <c r="M3268" s="1"/>
      <c r="N3268" s="1"/>
      <c r="O3268" s="1"/>
      <c r="P3268" s="6"/>
      <c r="Q3268" s="1"/>
      <c r="R3268" s="1"/>
      <c r="S3268" s="1"/>
      <c r="T3268" s="1"/>
      <c r="U3268" s="1"/>
      <c r="V3268" s="1"/>
      <c r="W3268" s="1"/>
      <c r="X3268" s="1"/>
      <c r="Y3268" s="1"/>
      <c r="Z3268" s="1"/>
    </row>
    <row r="3269" customFormat="false" ht="21.75" hidden="false" customHeight="true" outlineLevel="0" collapsed="false">
      <c r="A3269" s="4" t="n">
        <v>43507</v>
      </c>
      <c r="B3269" s="53" t="s">
        <v>48</v>
      </c>
      <c r="C3269" s="46" t="s">
        <v>15</v>
      </c>
      <c r="D3269" s="46" t="s">
        <v>43</v>
      </c>
      <c r="E3269" s="46" t="s">
        <v>109</v>
      </c>
      <c r="F3269" s="50" t="s">
        <v>7545</v>
      </c>
      <c r="G3269" s="51" t="n">
        <v>981664431</v>
      </c>
      <c r="H3269" s="52"/>
      <c r="I3269" s="52"/>
      <c r="J3269" s="1"/>
      <c r="K3269" s="1" t="s">
        <v>21</v>
      </c>
      <c r="L3269" s="1"/>
      <c r="M3269" s="1"/>
      <c r="N3269" s="1"/>
      <c r="O3269" s="1"/>
      <c r="P3269" s="6"/>
      <c r="Q3269" s="1"/>
      <c r="R3269" s="1"/>
      <c r="S3269" s="1"/>
      <c r="T3269" s="1"/>
      <c r="U3269" s="1"/>
      <c r="V3269" s="1"/>
      <c r="W3269" s="1"/>
      <c r="X3269" s="1"/>
      <c r="Y3269" s="1"/>
      <c r="Z3269" s="1"/>
    </row>
    <row r="3270" customFormat="false" ht="21.75" hidden="false" customHeight="true" outlineLevel="0" collapsed="false">
      <c r="A3270" s="4" t="n">
        <v>43507</v>
      </c>
      <c r="B3270" s="53" t="s">
        <v>42</v>
      </c>
      <c r="C3270" s="46" t="s">
        <v>15</v>
      </c>
      <c r="D3270" s="46" t="s">
        <v>43</v>
      </c>
      <c r="E3270" s="46" t="s">
        <v>109</v>
      </c>
      <c r="F3270" s="50" t="s">
        <v>7546</v>
      </c>
      <c r="G3270" s="51" t="n">
        <v>999950202</v>
      </c>
      <c r="H3270" s="52" t="s">
        <v>7547</v>
      </c>
      <c r="I3270" s="52"/>
      <c r="J3270" s="1"/>
      <c r="K3270" s="1" t="s">
        <v>21</v>
      </c>
      <c r="L3270" s="1"/>
      <c r="M3270" s="1"/>
      <c r="N3270" s="1"/>
      <c r="O3270" s="1"/>
      <c r="P3270" s="6"/>
      <c r="Q3270" s="1"/>
      <c r="R3270" s="1"/>
      <c r="S3270" s="1"/>
      <c r="T3270" s="1"/>
      <c r="U3270" s="1"/>
      <c r="V3270" s="1"/>
      <c r="W3270" s="1"/>
      <c r="X3270" s="1"/>
      <c r="Y3270" s="1"/>
      <c r="Z3270" s="1"/>
    </row>
    <row r="3271" customFormat="false" ht="21.75" hidden="false" customHeight="true" outlineLevel="0" collapsed="false">
      <c r="A3271" s="4" t="n">
        <v>43507</v>
      </c>
      <c r="B3271" s="53" t="s">
        <v>323</v>
      </c>
      <c r="C3271" s="46" t="s">
        <v>15</v>
      </c>
      <c r="D3271" s="46" t="s">
        <v>43</v>
      </c>
      <c r="E3271" s="46" t="s">
        <v>109</v>
      </c>
      <c r="F3271" s="50" t="s">
        <v>7548</v>
      </c>
      <c r="G3271" s="51" t="n">
        <v>986407501</v>
      </c>
      <c r="H3271" s="52" t="s">
        <v>7549</v>
      </c>
      <c r="I3271" s="52"/>
      <c r="J3271" s="1"/>
      <c r="K3271" s="1" t="s">
        <v>165</v>
      </c>
      <c r="L3271" s="1"/>
      <c r="M3271" s="1"/>
      <c r="N3271" s="1"/>
      <c r="O3271" s="1"/>
      <c r="P3271" s="6"/>
      <c r="Q3271" s="1"/>
      <c r="R3271" s="1"/>
      <c r="S3271" s="1"/>
      <c r="T3271" s="1"/>
      <c r="U3271" s="1"/>
      <c r="V3271" s="1"/>
      <c r="W3271" s="1"/>
      <c r="X3271" s="1"/>
      <c r="Y3271" s="1"/>
      <c r="Z3271" s="1"/>
    </row>
    <row r="3272" customFormat="false" ht="21.75" hidden="false" customHeight="true" outlineLevel="0" collapsed="false">
      <c r="A3272" s="4" t="n">
        <v>43507</v>
      </c>
      <c r="B3272" s="53" t="s">
        <v>48</v>
      </c>
      <c r="C3272" s="46" t="s">
        <v>15</v>
      </c>
      <c r="D3272" s="46" t="s">
        <v>43</v>
      </c>
      <c r="E3272" s="46" t="s">
        <v>109</v>
      </c>
      <c r="F3272" s="50" t="s">
        <v>7550</v>
      </c>
      <c r="G3272" s="51" t="n">
        <v>980531776</v>
      </c>
      <c r="H3272" s="52"/>
      <c r="I3272" s="52"/>
      <c r="J3272" s="1"/>
      <c r="K3272" s="1" t="s">
        <v>7551</v>
      </c>
      <c r="L3272" s="1"/>
      <c r="M3272" s="1"/>
      <c r="N3272" s="1"/>
      <c r="O3272" s="1"/>
      <c r="P3272" s="6"/>
      <c r="Q3272" s="1"/>
      <c r="R3272" s="1"/>
      <c r="S3272" s="1"/>
      <c r="T3272" s="1"/>
      <c r="U3272" s="1"/>
      <c r="V3272" s="1"/>
      <c r="W3272" s="1"/>
      <c r="X3272" s="1"/>
      <c r="Y3272" s="1"/>
      <c r="Z3272" s="1"/>
    </row>
    <row r="3273" customFormat="false" ht="21.75" hidden="false" customHeight="true" outlineLevel="0" collapsed="false">
      <c r="A3273" s="4" t="n">
        <v>43507</v>
      </c>
      <c r="B3273" s="53" t="s">
        <v>14</v>
      </c>
      <c r="C3273" s="46" t="s">
        <v>15</v>
      </c>
      <c r="D3273" s="46" t="s">
        <v>16</v>
      </c>
      <c r="E3273" s="46" t="s">
        <v>17</v>
      </c>
      <c r="F3273" s="50" t="s">
        <v>7552</v>
      </c>
      <c r="G3273" s="51" t="n">
        <v>994240124</v>
      </c>
      <c r="H3273" s="52" t="s">
        <v>7553</v>
      </c>
      <c r="I3273" s="52"/>
      <c r="J3273" s="1"/>
      <c r="K3273" s="1" t="s">
        <v>7554</v>
      </c>
      <c r="L3273" s="1"/>
      <c r="M3273" s="1"/>
      <c r="N3273" s="1"/>
      <c r="O3273" s="1"/>
      <c r="P3273" s="6"/>
      <c r="Q3273" s="1"/>
      <c r="R3273" s="1"/>
      <c r="S3273" s="1"/>
      <c r="T3273" s="1"/>
      <c r="U3273" s="1"/>
      <c r="V3273" s="1"/>
      <c r="W3273" s="1"/>
      <c r="X3273" s="1"/>
      <c r="Y3273" s="1"/>
      <c r="Z3273" s="1"/>
    </row>
    <row r="3274" customFormat="false" ht="21.75" hidden="false" customHeight="true" outlineLevel="0" collapsed="false">
      <c r="A3274" s="4" t="n">
        <v>43507</v>
      </c>
      <c r="B3274" s="53" t="s">
        <v>48</v>
      </c>
      <c r="C3274" s="46" t="s">
        <v>15</v>
      </c>
      <c r="D3274" s="46" t="s">
        <v>43</v>
      </c>
      <c r="E3274" s="46" t="s">
        <v>883</v>
      </c>
      <c r="F3274" s="52" t="s">
        <v>7555</v>
      </c>
      <c r="G3274" s="52"/>
      <c r="H3274" s="52" t="s">
        <v>7310</v>
      </c>
      <c r="I3274" s="52"/>
      <c r="J3274" s="1"/>
      <c r="K3274" s="1" t="s">
        <v>21</v>
      </c>
      <c r="L3274" s="1"/>
      <c r="M3274" s="1"/>
      <c r="N3274" s="1"/>
      <c r="O3274" s="1"/>
      <c r="P3274" s="6"/>
      <c r="Q3274" s="1"/>
      <c r="R3274" s="1"/>
      <c r="S3274" s="1"/>
      <c r="T3274" s="1"/>
      <c r="U3274" s="1"/>
      <c r="V3274" s="1"/>
      <c r="W3274" s="1"/>
      <c r="X3274" s="1"/>
      <c r="Y3274" s="1"/>
      <c r="Z3274" s="1"/>
    </row>
    <row r="3275" customFormat="false" ht="21.75" hidden="false" customHeight="true" outlineLevel="0" collapsed="false">
      <c r="A3275" s="4" t="n">
        <v>43507</v>
      </c>
      <c r="B3275" s="53" t="s">
        <v>14</v>
      </c>
      <c r="C3275" s="46" t="s">
        <v>15</v>
      </c>
      <c r="D3275" s="46" t="s">
        <v>16</v>
      </c>
      <c r="E3275" s="46" t="s">
        <v>17</v>
      </c>
      <c r="F3275" s="50" t="s">
        <v>5414</v>
      </c>
      <c r="G3275" s="51" t="n">
        <v>982509173</v>
      </c>
      <c r="H3275" s="52" t="s">
        <v>5415</v>
      </c>
      <c r="I3275" s="52"/>
      <c r="J3275" s="1"/>
      <c r="K3275" s="1" t="s">
        <v>3372</v>
      </c>
      <c r="L3275" s="1"/>
      <c r="M3275" s="1"/>
      <c r="N3275" s="1"/>
      <c r="O3275" s="1"/>
      <c r="P3275" s="6"/>
      <c r="Q3275" s="1"/>
      <c r="R3275" s="1"/>
      <c r="S3275" s="1"/>
      <c r="T3275" s="1"/>
      <c r="U3275" s="1"/>
      <c r="V3275" s="1"/>
      <c r="W3275" s="1"/>
      <c r="X3275" s="1"/>
      <c r="Y3275" s="1"/>
      <c r="Z3275" s="1"/>
    </row>
    <row r="3276" customFormat="false" ht="21.75" hidden="false" customHeight="true" outlineLevel="0" collapsed="false">
      <c r="A3276" s="4" t="n">
        <v>43507</v>
      </c>
      <c r="B3276" s="53" t="s">
        <v>48</v>
      </c>
      <c r="C3276" s="46" t="s">
        <v>15</v>
      </c>
      <c r="D3276" s="46" t="s">
        <v>43</v>
      </c>
      <c r="E3276" s="46" t="s">
        <v>109</v>
      </c>
      <c r="F3276" s="50" t="s">
        <v>7556</v>
      </c>
      <c r="G3276" s="51" t="n">
        <v>968515641</v>
      </c>
      <c r="H3276" s="52" t="s">
        <v>7557</v>
      </c>
      <c r="I3276" s="52"/>
      <c r="J3276" s="1"/>
      <c r="K3276" s="1" t="s">
        <v>21</v>
      </c>
      <c r="L3276" s="1"/>
      <c r="M3276" s="1"/>
      <c r="N3276" s="1"/>
      <c r="O3276" s="1"/>
      <c r="P3276" s="6"/>
      <c r="Q3276" s="1"/>
      <c r="R3276" s="1"/>
      <c r="S3276" s="1"/>
      <c r="T3276" s="1"/>
      <c r="U3276" s="1"/>
      <c r="V3276" s="1"/>
      <c r="W3276" s="1"/>
      <c r="X3276" s="1"/>
      <c r="Y3276" s="1"/>
      <c r="Z3276" s="1"/>
    </row>
    <row r="3277" customFormat="false" ht="21.75" hidden="false" customHeight="true" outlineLevel="0" collapsed="false">
      <c r="A3277" s="4" t="n">
        <v>43507</v>
      </c>
      <c r="B3277" s="53" t="s">
        <v>48</v>
      </c>
      <c r="C3277" s="46" t="s">
        <v>15</v>
      </c>
      <c r="D3277" s="46" t="s">
        <v>43</v>
      </c>
      <c r="E3277" s="46" t="s">
        <v>44</v>
      </c>
      <c r="F3277" s="50" t="s">
        <v>6195</v>
      </c>
      <c r="G3277" s="51" t="n">
        <v>982895255</v>
      </c>
      <c r="H3277" s="52" t="s">
        <v>6196</v>
      </c>
      <c r="I3277" s="52"/>
      <c r="J3277" s="1"/>
      <c r="K3277" s="1" t="s">
        <v>7558</v>
      </c>
      <c r="L3277" s="1"/>
      <c r="M3277" s="1"/>
      <c r="N3277" s="1"/>
      <c r="O3277" s="1"/>
      <c r="P3277" s="6"/>
      <c r="Q3277" s="1"/>
      <c r="R3277" s="1"/>
      <c r="S3277" s="1"/>
      <c r="T3277" s="1"/>
      <c r="U3277" s="1"/>
      <c r="V3277" s="1"/>
      <c r="W3277" s="1"/>
      <c r="X3277" s="1"/>
      <c r="Y3277" s="1"/>
      <c r="Z3277" s="1"/>
    </row>
    <row r="3278" customFormat="false" ht="21.75" hidden="false" customHeight="true" outlineLevel="0" collapsed="false">
      <c r="A3278" s="4" t="n">
        <v>43507</v>
      </c>
      <c r="B3278" s="53" t="s">
        <v>48</v>
      </c>
      <c r="C3278" s="46" t="s">
        <v>15</v>
      </c>
      <c r="D3278" s="46" t="s">
        <v>43</v>
      </c>
      <c r="E3278" s="46" t="s">
        <v>109</v>
      </c>
      <c r="F3278" s="70" t="s">
        <v>7559</v>
      </c>
      <c r="G3278" s="70"/>
      <c r="H3278" s="52" t="s">
        <v>7560</v>
      </c>
      <c r="I3278" s="52"/>
      <c r="J3278" s="1"/>
      <c r="K3278" s="1" t="s">
        <v>6342</v>
      </c>
      <c r="L3278" s="1"/>
      <c r="M3278" s="1"/>
      <c r="N3278" s="1"/>
      <c r="O3278" s="1"/>
      <c r="P3278" s="6"/>
      <c r="Q3278" s="1"/>
      <c r="R3278" s="1"/>
      <c r="S3278" s="1"/>
      <c r="T3278" s="1"/>
      <c r="U3278" s="1"/>
      <c r="V3278" s="1"/>
      <c r="W3278" s="1"/>
      <c r="X3278" s="1"/>
      <c r="Y3278" s="1"/>
      <c r="Z3278" s="1"/>
    </row>
    <row r="3279" customFormat="false" ht="21.75" hidden="false" customHeight="true" outlineLevel="0" collapsed="false">
      <c r="A3279" s="4" t="n">
        <v>43507</v>
      </c>
      <c r="B3279" s="53" t="s">
        <v>48</v>
      </c>
      <c r="C3279" s="46" t="s">
        <v>15</v>
      </c>
      <c r="D3279" s="46" t="s">
        <v>43</v>
      </c>
      <c r="E3279" s="46" t="s">
        <v>109</v>
      </c>
      <c r="F3279" s="50" t="s">
        <v>7561</v>
      </c>
      <c r="G3279" s="51" t="n">
        <v>992128882</v>
      </c>
      <c r="H3279" s="52" t="s">
        <v>7562</v>
      </c>
      <c r="I3279" s="52"/>
      <c r="J3279" s="1"/>
      <c r="K3279" s="1" t="s">
        <v>7563</v>
      </c>
      <c r="L3279" s="1"/>
      <c r="M3279" s="1"/>
      <c r="N3279" s="1"/>
      <c r="O3279" s="1"/>
      <c r="P3279" s="6"/>
      <c r="Q3279" s="1"/>
      <c r="R3279" s="1"/>
      <c r="S3279" s="1"/>
      <c r="T3279" s="1"/>
      <c r="U3279" s="1"/>
      <c r="V3279" s="1"/>
      <c r="W3279" s="1"/>
      <c r="X3279" s="1"/>
      <c r="Y3279" s="1"/>
      <c r="Z3279" s="1"/>
    </row>
    <row r="3280" customFormat="false" ht="21.75" hidden="false" customHeight="true" outlineLevel="0" collapsed="false">
      <c r="A3280" s="4" t="n">
        <v>43507</v>
      </c>
      <c r="B3280" s="53" t="s">
        <v>81</v>
      </c>
      <c r="C3280" s="46" t="s">
        <v>15</v>
      </c>
      <c r="D3280" s="46" t="s">
        <v>43</v>
      </c>
      <c r="E3280" s="46" t="s">
        <v>44</v>
      </c>
      <c r="F3280" s="50" t="s">
        <v>7564</v>
      </c>
      <c r="G3280" s="66" t="n">
        <v>989000301</v>
      </c>
      <c r="H3280" s="52" t="s">
        <v>7565</v>
      </c>
      <c r="I3280" s="52"/>
      <c r="J3280" s="1"/>
      <c r="K3280" s="1" t="s">
        <v>7566</v>
      </c>
      <c r="L3280" s="1"/>
      <c r="M3280" s="1"/>
      <c r="N3280" s="1"/>
      <c r="O3280" s="1"/>
      <c r="P3280" s="6"/>
      <c r="Q3280" s="1"/>
      <c r="R3280" s="1"/>
      <c r="S3280" s="1"/>
      <c r="T3280" s="1"/>
      <c r="U3280" s="1"/>
      <c r="V3280" s="1"/>
      <c r="W3280" s="1"/>
      <c r="X3280" s="1"/>
      <c r="Y3280" s="1"/>
      <c r="Z3280" s="1"/>
    </row>
    <row r="3281" customFormat="false" ht="21.75" hidden="false" customHeight="true" outlineLevel="0" collapsed="false">
      <c r="A3281" s="4" t="n">
        <v>43507</v>
      </c>
      <c r="B3281" s="53" t="s">
        <v>178</v>
      </c>
      <c r="C3281" s="46" t="s">
        <v>15</v>
      </c>
      <c r="D3281" s="46" t="s">
        <v>43</v>
      </c>
      <c r="E3281" s="46" t="s">
        <v>44</v>
      </c>
      <c r="F3281" s="50" t="s">
        <v>7567</v>
      </c>
      <c r="G3281" s="51" t="n">
        <v>980077828</v>
      </c>
      <c r="H3281" s="52" t="s">
        <v>7568</v>
      </c>
      <c r="I3281" s="52"/>
      <c r="J3281" s="1"/>
      <c r="K3281" s="1" t="s">
        <v>6430</v>
      </c>
      <c r="L3281" s="1"/>
      <c r="M3281" s="1"/>
      <c r="N3281" s="1"/>
      <c r="O3281" s="1"/>
      <c r="P3281" s="6"/>
      <c r="Q3281" s="1"/>
      <c r="R3281" s="1"/>
      <c r="S3281" s="1"/>
      <c r="T3281" s="1"/>
      <c r="U3281" s="1"/>
      <c r="V3281" s="1"/>
      <c r="W3281" s="1"/>
      <c r="X3281" s="1"/>
      <c r="Y3281" s="1"/>
      <c r="Z3281" s="1"/>
    </row>
    <row r="3282" customFormat="false" ht="21.75" hidden="false" customHeight="true" outlineLevel="0" collapsed="false">
      <c r="A3282" s="4" t="n">
        <v>43507</v>
      </c>
      <c r="B3282" s="53" t="s">
        <v>48</v>
      </c>
      <c r="C3282" s="46" t="s">
        <v>15</v>
      </c>
      <c r="D3282" s="46" t="s">
        <v>43</v>
      </c>
      <c r="E3282" s="46" t="s">
        <v>109</v>
      </c>
      <c r="F3282" s="50" t="s">
        <v>7569</v>
      </c>
      <c r="G3282" s="52"/>
      <c r="H3282" s="52" t="s">
        <v>7570</v>
      </c>
      <c r="I3282" s="52"/>
      <c r="J3282" s="1"/>
      <c r="K3282" s="1" t="s">
        <v>7571</v>
      </c>
      <c r="L3282" s="1"/>
      <c r="M3282" s="1"/>
      <c r="N3282" s="1"/>
      <c r="O3282" s="1"/>
      <c r="P3282" s="6"/>
      <c r="Q3282" s="1"/>
      <c r="R3282" s="1"/>
      <c r="S3282" s="1"/>
      <c r="T3282" s="1"/>
      <c r="U3282" s="1"/>
      <c r="V3282" s="1"/>
      <c r="W3282" s="1"/>
      <c r="X3282" s="1"/>
      <c r="Y3282" s="1"/>
      <c r="Z3282" s="1"/>
    </row>
    <row r="3283" customFormat="false" ht="21.75" hidden="false" customHeight="true" outlineLevel="0" collapsed="false">
      <c r="A3283" s="4" t="n">
        <v>43507</v>
      </c>
      <c r="B3283" s="53" t="s">
        <v>48</v>
      </c>
      <c r="C3283" s="46" t="s">
        <v>15</v>
      </c>
      <c r="D3283" s="46" t="s">
        <v>43</v>
      </c>
      <c r="E3283" s="46" t="s">
        <v>883</v>
      </c>
      <c r="F3283" s="50" t="s">
        <v>7572</v>
      </c>
      <c r="G3283" s="51" t="n">
        <v>999122409</v>
      </c>
      <c r="H3283" s="52"/>
      <c r="I3283" s="52"/>
      <c r="J3283" s="1"/>
      <c r="K3283" s="1" t="s">
        <v>7573</v>
      </c>
      <c r="L3283" s="1"/>
      <c r="M3283" s="1"/>
      <c r="N3283" s="1"/>
      <c r="O3283" s="1"/>
      <c r="P3283" s="6"/>
      <c r="Q3283" s="1"/>
      <c r="R3283" s="1"/>
      <c r="S3283" s="1"/>
      <c r="T3283" s="1"/>
      <c r="U3283" s="1"/>
      <c r="V3283" s="1"/>
      <c r="W3283" s="1"/>
      <c r="X3283" s="1"/>
      <c r="Y3283" s="1"/>
      <c r="Z3283" s="1"/>
    </row>
    <row r="3284" customFormat="false" ht="21.75" hidden="false" customHeight="true" outlineLevel="0" collapsed="false">
      <c r="A3284" s="4" t="n">
        <v>43507</v>
      </c>
      <c r="B3284" s="53" t="s">
        <v>48</v>
      </c>
      <c r="C3284" s="46" t="s">
        <v>15</v>
      </c>
      <c r="D3284" s="46" t="s">
        <v>43</v>
      </c>
      <c r="E3284" s="46" t="s">
        <v>109</v>
      </c>
      <c r="F3284" s="50" t="s">
        <v>7574</v>
      </c>
      <c r="G3284" s="51" t="n">
        <v>967362593</v>
      </c>
      <c r="H3284" s="52" t="s">
        <v>7575</v>
      </c>
      <c r="I3284" s="52"/>
      <c r="J3284" s="1"/>
      <c r="K3284" s="1" t="s">
        <v>21</v>
      </c>
      <c r="L3284" s="1"/>
      <c r="M3284" s="1"/>
      <c r="N3284" s="1"/>
      <c r="O3284" s="1"/>
      <c r="P3284" s="6"/>
      <c r="Q3284" s="1"/>
      <c r="R3284" s="1"/>
      <c r="S3284" s="1"/>
      <c r="T3284" s="1"/>
      <c r="U3284" s="1"/>
      <c r="V3284" s="1"/>
      <c r="W3284" s="1"/>
      <c r="X3284" s="1"/>
      <c r="Y3284" s="1"/>
      <c r="Z3284" s="1"/>
    </row>
    <row r="3285" customFormat="false" ht="21.75" hidden="false" customHeight="true" outlineLevel="0" collapsed="false">
      <c r="A3285" s="4" t="n">
        <v>43507</v>
      </c>
      <c r="B3285" s="53" t="s">
        <v>7576</v>
      </c>
      <c r="C3285" s="46" t="s">
        <v>15</v>
      </c>
      <c r="D3285" s="46" t="s">
        <v>43</v>
      </c>
      <c r="E3285" s="46" t="s">
        <v>109</v>
      </c>
      <c r="F3285" s="50" t="s">
        <v>1218</v>
      </c>
      <c r="G3285" s="51" t="n">
        <v>997533683</v>
      </c>
      <c r="H3285" s="52" t="s">
        <v>1219</v>
      </c>
      <c r="I3285" s="52"/>
      <c r="J3285" s="1"/>
      <c r="K3285" s="1" t="s">
        <v>21</v>
      </c>
      <c r="L3285" s="1"/>
      <c r="M3285" s="1"/>
      <c r="N3285" s="1"/>
      <c r="O3285" s="1"/>
      <c r="P3285" s="6"/>
      <c r="Q3285" s="1"/>
      <c r="R3285" s="1"/>
      <c r="S3285" s="1"/>
      <c r="T3285" s="1"/>
      <c r="U3285" s="1"/>
      <c r="V3285" s="1"/>
      <c r="W3285" s="1"/>
      <c r="X3285" s="1"/>
      <c r="Y3285" s="1"/>
      <c r="Z3285" s="1"/>
    </row>
    <row r="3286" customFormat="false" ht="21.75" hidden="false" customHeight="true" outlineLevel="0" collapsed="false">
      <c r="A3286" s="4" t="n">
        <v>43507</v>
      </c>
      <c r="B3286" s="53" t="s">
        <v>352</v>
      </c>
      <c r="C3286" s="46" t="s">
        <v>15</v>
      </c>
      <c r="D3286" s="46" t="s">
        <v>43</v>
      </c>
      <c r="E3286" s="46" t="s">
        <v>883</v>
      </c>
      <c r="F3286" s="50" t="s">
        <v>7577</v>
      </c>
      <c r="G3286" s="51" t="n">
        <v>980407886</v>
      </c>
      <c r="H3286" s="52" t="s">
        <v>7578</v>
      </c>
      <c r="I3286" s="52"/>
      <c r="J3286" s="1"/>
      <c r="K3286" s="1" t="s">
        <v>673</v>
      </c>
      <c r="L3286" s="1"/>
      <c r="M3286" s="1"/>
      <c r="N3286" s="1"/>
      <c r="O3286" s="1"/>
      <c r="P3286" s="6"/>
      <c r="Q3286" s="1"/>
      <c r="R3286" s="1"/>
      <c r="S3286" s="1"/>
      <c r="T3286" s="1"/>
      <c r="U3286" s="1"/>
      <c r="V3286" s="1"/>
      <c r="W3286" s="1"/>
      <c r="X3286" s="1"/>
      <c r="Y3286" s="1"/>
      <c r="Z3286" s="1"/>
    </row>
    <row r="3287" customFormat="false" ht="21.75" hidden="false" customHeight="true" outlineLevel="0" collapsed="false">
      <c r="A3287" s="4" t="n">
        <v>43507</v>
      </c>
      <c r="B3287" s="53" t="s">
        <v>48</v>
      </c>
      <c r="C3287" s="46" t="s">
        <v>15</v>
      </c>
      <c r="D3287" s="46" t="s">
        <v>43</v>
      </c>
      <c r="E3287" s="46" t="s">
        <v>109</v>
      </c>
      <c r="F3287" s="50" t="s">
        <v>7579</v>
      </c>
      <c r="G3287" s="51" t="n">
        <v>960552148</v>
      </c>
      <c r="H3287" s="52" t="s">
        <v>7580</v>
      </c>
      <c r="I3287" s="52"/>
      <c r="J3287" s="1"/>
      <c r="K3287" s="1" t="s">
        <v>21</v>
      </c>
      <c r="L3287" s="1"/>
      <c r="M3287" s="1"/>
      <c r="N3287" s="1"/>
      <c r="O3287" s="1"/>
      <c r="P3287" s="6"/>
      <c r="Q3287" s="1"/>
      <c r="R3287" s="1"/>
      <c r="S3287" s="1"/>
      <c r="T3287" s="1"/>
      <c r="U3287" s="1"/>
      <c r="V3287" s="1"/>
      <c r="W3287" s="1"/>
      <c r="X3287" s="1"/>
      <c r="Y3287" s="1"/>
      <c r="Z3287" s="1"/>
    </row>
    <row r="3288" customFormat="false" ht="21.75" hidden="false" customHeight="true" outlineLevel="0" collapsed="false">
      <c r="A3288" s="4" t="n">
        <v>43507</v>
      </c>
      <c r="B3288" s="53" t="s">
        <v>415</v>
      </c>
      <c r="C3288" s="46" t="s">
        <v>15</v>
      </c>
      <c r="D3288" s="46" t="s">
        <v>43</v>
      </c>
      <c r="E3288" s="46" t="s">
        <v>109</v>
      </c>
      <c r="F3288" s="50" t="s">
        <v>4401</v>
      </c>
      <c r="G3288" s="51" t="n">
        <v>939365697</v>
      </c>
      <c r="H3288" s="52" t="s">
        <v>7581</v>
      </c>
      <c r="I3288" s="52"/>
      <c r="J3288" s="1"/>
      <c r="K3288" s="1" t="s">
        <v>7582</v>
      </c>
      <c r="L3288" s="1"/>
      <c r="M3288" s="1"/>
      <c r="N3288" s="1"/>
      <c r="O3288" s="1"/>
      <c r="P3288" s="6"/>
      <c r="Q3288" s="1"/>
      <c r="R3288" s="1"/>
      <c r="S3288" s="1"/>
      <c r="T3288" s="1"/>
      <c r="U3288" s="1"/>
      <c r="V3288" s="1"/>
      <c r="W3288" s="1"/>
      <c r="X3288" s="1"/>
      <c r="Y3288" s="1"/>
      <c r="Z3288" s="1"/>
    </row>
    <row r="3289" customFormat="false" ht="21.75" hidden="false" customHeight="true" outlineLevel="0" collapsed="false">
      <c r="A3289" s="4" t="n">
        <v>43507</v>
      </c>
      <c r="B3289" s="53" t="s">
        <v>48</v>
      </c>
      <c r="C3289" s="46" t="s">
        <v>15</v>
      </c>
      <c r="D3289" s="46" t="s">
        <v>43</v>
      </c>
      <c r="E3289" s="46" t="s">
        <v>109</v>
      </c>
      <c r="F3289" s="50" t="s">
        <v>7544</v>
      </c>
      <c r="G3289" s="51" t="n">
        <v>968671635</v>
      </c>
      <c r="H3289" s="52" t="s">
        <v>7317</v>
      </c>
      <c r="I3289" s="52"/>
      <c r="J3289" s="1"/>
      <c r="K3289" s="1" t="s">
        <v>21</v>
      </c>
      <c r="L3289" s="1"/>
      <c r="M3289" s="1"/>
      <c r="N3289" s="1"/>
      <c r="O3289" s="1"/>
      <c r="P3289" s="6"/>
      <c r="Q3289" s="1"/>
      <c r="R3289" s="1"/>
      <c r="S3289" s="1"/>
      <c r="T3289" s="1"/>
      <c r="U3289" s="1"/>
      <c r="V3289" s="1"/>
      <c r="W3289" s="1"/>
      <c r="X3289" s="1"/>
      <c r="Y3289" s="1"/>
      <c r="Z3289" s="1"/>
    </row>
    <row r="3290" customFormat="false" ht="21.75" hidden="false" customHeight="true" outlineLevel="0" collapsed="false">
      <c r="A3290" s="4" t="n">
        <v>43507</v>
      </c>
      <c r="B3290" s="53" t="s">
        <v>48</v>
      </c>
      <c r="C3290" s="46" t="s">
        <v>15</v>
      </c>
      <c r="D3290" s="46" t="s">
        <v>43</v>
      </c>
      <c r="E3290" s="46" t="s">
        <v>109</v>
      </c>
      <c r="F3290" s="50" t="s">
        <v>7583</v>
      </c>
      <c r="G3290" s="51" t="n">
        <v>992699574</v>
      </c>
      <c r="H3290" s="52" t="s">
        <v>7584</v>
      </c>
      <c r="I3290" s="52"/>
      <c r="J3290" s="1"/>
      <c r="K3290" s="1" t="s">
        <v>21</v>
      </c>
      <c r="L3290" s="1"/>
      <c r="M3290" s="1"/>
      <c r="N3290" s="1"/>
      <c r="O3290" s="1"/>
      <c r="P3290" s="6"/>
      <c r="Q3290" s="1"/>
      <c r="R3290" s="1"/>
      <c r="S3290" s="1"/>
      <c r="T3290" s="1"/>
      <c r="U3290" s="1"/>
      <c r="V3290" s="1"/>
      <c r="W3290" s="1"/>
      <c r="X3290" s="1"/>
      <c r="Y3290" s="1"/>
      <c r="Z3290" s="1"/>
    </row>
    <row r="3291" customFormat="false" ht="21.75" hidden="false" customHeight="true" outlineLevel="0" collapsed="false">
      <c r="A3291" s="4" t="n">
        <v>43507</v>
      </c>
      <c r="B3291" s="53" t="s">
        <v>178</v>
      </c>
      <c r="C3291" s="46" t="s">
        <v>15</v>
      </c>
      <c r="D3291" s="46" t="s">
        <v>43</v>
      </c>
      <c r="E3291" s="46" t="s">
        <v>883</v>
      </c>
      <c r="F3291" s="50" t="s">
        <v>7585</v>
      </c>
      <c r="G3291" s="51" t="n">
        <v>987169765</v>
      </c>
      <c r="H3291" s="52" t="s">
        <v>7586</v>
      </c>
      <c r="I3291" s="52"/>
      <c r="J3291" s="1"/>
      <c r="K3291" s="1" t="s">
        <v>21</v>
      </c>
      <c r="L3291" s="1"/>
      <c r="M3291" s="1"/>
      <c r="N3291" s="1"/>
      <c r="O3291" s="1"/>
      <c r="P3291" s="6"/>
      <c r="Q3291" s="1"/>
      <c r="R3291" s="1"/>
      <c r="S3291" s="1"/>
      <c r="T3291" s="1"/>
      <c r="U3291" s="1"/>
      <c r="V3291" s="1"/>
      <c r="W3291" s="1"/>
      <c r="X3291" s="1"/>
      <c r="Y3291" s="1"/>
      <c r="Z3291" s="1"/>
    </row>
    <row r="3292" customFormat="false" ht="21.75" hidden="false" customHeight="true" outlineLevel="0" collapsed="false">
      <c r="A3292" s="4" t="n">
        <v>43507</v>
      </c>
      <c r="B3292" s="53" t="s">
        <v>48</v>
      </c>
      <c r="C3292" s="46" t="s">
        <v>15</v>
      </c>
      <c r="D3292" s="46" t="s">
        <v>43</v>
      </c>
      <c r="E3292" s="46" t="s">
        <v>109</v>
      </c>
      <c r="F3292" s="50" t="s">
        <v>7587</v>
      </c>
      <c r="G3292" s="51" t="n">
        <v>984228133</v>
      </c>
      <c r="H3292" s="52" t="s">
        <v>7588</v>
      </c>
      <c r="I3292" s="52"/>
      <c r="J3292" s="1"/>
      <c r="K3292" s="1" t="s">
        <v>1144</v>
      </c>
      <c r="L3292" s="1"/>
      <c r="M3292" s="1"/>
      <c r="N3292" s="1"/>
      <c r="O3292" s="1"/>
      <c r="P3292" s="6"/>
      <c r="Q3292" s="1"/>
      <c r="R3292" s="1"/>
      <c r="S3292" s="1"/>
      <c r="T3292" s="1"/>
      <c r="U3292" s="1"/>
      <c r="V3292" s="1"/>
      <c r="W3292" s="1"/>
      <c r="X3292" s="1"/>
      <c r="Y3292" s="1"/>
      <c r="Z3292" s="1"/>
    </row>
    <row r="3293" customFormat="false" ht="21.75" hidden="false" customHeight="true" outlineLevel="0" collapsed="false">
      <c r="A3293" s="4" t="n">
        <v>43507</v>
      </c>
      <c r="B3293" s="53" t="s">
        <v>48</v>
      </c>
      <c r="C3293" s="46" t="s">
        <v>15</v>
      </c>
      <c r="D3293" s="46" t="s">
        <v>43</v>
      </c>
      <c r="E3293" s="46" t="s">
        <v>109</v>
      </c>
      <c r="F3293" s="50" t="s">
        <v>7589</v>
      </c>
      <c r="G3293" s="51" t="n">
        <v>990192957</v>
      </c>
      <c r="H3293" s="52" t="s">
        <v>7590</v>
      </c>
      <c r="I3293" s="52"/>
      <c r="J3293" s="1"/>
      <c r="K3293" s="1" t="s">
        <v>21</v>
      </c>
      <c r="L3293" s="1"/>
      <c r="M3293" s="1"/>
      <c r="N3293" s="1"/>
      <c r="O3293" s="1"/>
      <c r="P3293" s="6"/>
      <c r="Q3293" s="1"/>
      <c r="R3293" s="1"/>
      <c r="S3293" s="1"/>
      <c r="T3293" s="1"/>
      <c r="U3293" s="1"/>
      <c r="V3293" s="1"/>
      <c r="W3293" s="1"/>
      <c r="X3293" s="1"/>
      <c r="Y3293" s="1"/>
      <c r="Z3293" s="1"/>
    </row>
    <row r="3294" customFormat="false" ht="21.75" hidden="false" customHeight="true" outlineLevel="0" collapsed="false">
      <c r="A3294" s="4" t="n">
        <v>43507</v>
      </c>
      <c r="B3294" s="53" t="s">
        <v>415</v>
      </c>
      <c r="C3294" s="46" t="s">
        <v>15</v>
      </c>
      <c r="D3294" s="46" t="s">
        <v>43</v>
      </c>
      <c r="E3294" s="46" t="s">
        <v>44</v>
      </c>
      <c r="F3294" s="50" t="s">
        <v>7591</v>
      </c>
      <c r="G3294" s="51" t="n">
        <v>984138402</v>
      </c>
      <c r="H3294" s="52" t="s">
        <v>7592</v>
      </c>
      <c r="I3294" s="52"/>
      <c r="J3294" s="1"/>
      <c r="K3294" s="1" t="s">
        <v>7593</v>
      </c>
      <c r="L3294" s="1"/>
      <c r="M3294" s="1"/>
      <c r="N3294" s="1"/>
      <c r="O3294" s="1"/>
      <c r="P3294" s="6"/>
      <c r="Q3294" s="1"/>
      <c r="R3294" s="1"/>
      <c r="S3294" s="1"/>
      <c r="T3294" s="1"/>
      <c r="U3294" s="1"/>
      <c r="V3294" s="1"/>
      <c r="W3294" s="1"/>
      <c r="X3294" s="1"/>
      <c r="Y3294" s="1"/>
      <c r="Z3294" s="1"/>
    </row>
    <row r="3295" customFormat="false" ht="21.75" hidden="false" customHeight="true" outlineLevel="0" collapsed="false">
      <c r="A3295" s="4" t="n">
        <v>43507</v>
      </c>
      <c r="B3295" s="53" t="s">
        <v>415</v>
      </c>
      <c r="C3295" s="46" t="s">
        <v>15</v>
      </c>
      <c r="D3295" s="46" t="s">
        <v>43</v>
      </c>
      <c r="E3295" s="46" t="s">
        <v>109</v>
      </c>
      <c r="F3295" s="50" t="s">
        <v>7594</v>
      </c>
      <c r="G3295" s="51" t="n">
        <v>995068243</v>
      </c>
      <c r="H3295" s="52" t="s">
        <v>7595</v>
      </c>
      <c r="I3295" s="52"/>
      <c r="J3295" s="1"/>
      <c r="K3295" s="2" t="s">
        <v>1156</v>
      </c>
      <c r="L3295" s="1"/>
      <c r="M3295" s="1"/>
      <c r="N3295" s="1"/>
      <c r="O3295" s="1"/>
      <c r="P3295" s="6"/>
      <c r="Q3295" s="1"/>
      <c r="R3295" s="1"/>
      <c r="S3295" s="1"/>
      <c r="T3295" s="1"/>
      <c r="U3295" s="1"/>
      <c r="V3295" s="1"/>
      <c r="W3295" s="1"/>
      <c r="X3295" s="1"/>
      <c r="Y3295" s="1"/>
      <c r="Z3295" s="1"/>
    </row>
    <row r="3296" customFormat="false" ht="21.75" hidden="false" customHeight="true" outlineLevel="0" collapsed="false">
      <c r="A3296" s="4" t="n">
        <v>43507</v>
      </c>
      <c r="B3296" s="53" t="s">
        <v>352</v>
      </c>
      <c r="C3296" s="46" t="s">
        <v>15</v>
      </c>
      <c r="D3296" s="46" t="s">
        <v>43</v>
      </c>
      <c r="E3296" s="46" t="s">
        <v>883</v>
      </c>
      <c r="F3296" s="50" t="s">
        <v>7596</v>
      </c>
      <c r="G3296" s="51" t="n">
        <v>959878152</v>
      </c>
      <c r="H3296" s="54" t="s">
        <v>7597</v>
      </c>
      <c r="I3296" s="54"/>
      <c r="J3296" s="1"/>
      <c r="K3296" s="1" t="s">
        <v>1156</v>
      </c>
      <c r="L3296" s="1"/>
      <c r="M3296" s="1"/>
      <c r="N3296" s="1"/>
      <c r="O3296" s="1"/>
      <c r="P3296" s="6"/>
      <c r="Q3296" s="1"/>
      <c r="R3296" s="1"/>
      <c r="S3296" s="1"/>
      <c r="T3296" s="1"/>
      <c r="U3296" s="1"/>
      <c r="V3296" s="1"/>
      <c r="W3296" s="1"/>
      <c r="X3296" s="1"/>
      <c r="Y3296" s="1"/>
      <c r="Z3296" s="1"/>
    </row>
    <row r="3297" customFormat="false" ht="21.75" hidden="false" customHeight="true" outlineLevel="0" collapsed="false">
      <c r="A3297" s="4" t="n">
        <v>43507</v>
      </c>
      <c r="B3297" s="53" t="s">
        <v>1114</v>
      </c>
      <c r="C3297" s="46" t="s">
        <v>15</v>
      </c>
      <c r="D3297" s="46" t="s">
        <v>43</v>
      </c>
      <c r="E3297" s="46" t="s">
        <v>109</v>
      </c>
      <c r="F3297" s="50" t="s">
        <v>7598</v>
      </c>
      <c r="G3297" s="51" t="n">
        <v>959488483</v>
      </c>
      <c r="H3297" s="52" t="s">
        <v>7599</v>
      </c>
      <c r="I3297" s="52"/>
      <c r="J3297" s="1"/>
      <c r="K3297" s="83" t="s">
        <v>7600</v>
      </c>
      <c r="L3297" s="1"/>
      <c r="M3297" s="1"/>
      <c r="N3297" s="1"/>
      <c r="O3297" s="1"/>
      <c r="P3297" s="6"/>
      <c r="Q3297" s="1"/>
      <c r="R3297" s="1"/>
      <c r="S3297" s="1"/>
      <c r="T3297" s="1"/>
      <c r="U3297" s="1"/>
      <c r="V3297" s="1"/>
      <c r="W3297" s="1"/>
      <c r="X3297" s="1"/>
      <c r="Y3297" s="1"/>
      <c r="Z3297" s="1"/>
    </row>
    <row r="3298" customFormat="false" ht="21.75" hidden="false" customHeight="true" outlineLevel="0" collapsed="false">
      <c r="A3298" s="4" t="n">
        <v>43507</v>
      </c>
      <c r="B3298" s="53" t="s">
        <v>81</v>
      </c>
      <c r="C3298" s="46" t="s">
        <v>15</v>
      </c>
      <c r="D3298" s="46" t="s">
        <v>43</v>
      </c>
      <c r="E3298" s="46" t="s">
        <v>109</v>
      </c>
      <c r="F3298" s="50" t="s">
        <v>7601</v>
      </c>
      <c r="G3298" s="52" t="n">
        <v>991895198</v>
      </c>
      <c r="H3298" s="52" t="s">
        <v>7602</v>
      </c>
      <c r="I3298" s="52"/>
      <c r="J3298" s="1"/>
      <c r="K3298" s="2" t="s">
        <v>1096</v>
      </c>
      <c r="L3298" s="1"/>
      <c r="M3298" s="1"/>
      <c r="N3298" s="1"/>
      <c r="O3298" s="1"/>
      <c r="P3298" s="6"/>
      <c r="Q3298" s="1"/>
      <c r="R3298" s="1"/>
      <c r="S3298" s="1"/>
      <c r="T3298" s="1"/>
      <c r="U3298" s="1"/>
      <c r="V3298" s="1"/>
      <c r="W3298" s="1"/>
      <c r="X3298" s="1"/>
      <c r="Y3298" s="1"/>
      <c r="Z3298" s="1"/>
    </row>
    <row r="3299" customFormat="false" ht="21.75" hidden="false" customHeight="true" outlineLevel="0" collapsed="false">
      <c r="A3299" s="4" t="n">
        <v>43507</v>
      </c>
      <c r="B3299" s="53" t="s">
        <v>1114</v>
      </c>
      <c r="C3299" s="46" t="s">
        <v>15</v>
      </c>
      <c r="D3299" s="46" t="s">
        <v>43</v>
      </c>
      <c r="E3299" s="46" t="s">
        <v>883</v>
      </c>
      <c r="F3299" s="50" t="s">
        <v>7603</v>
      </c>
      <c r="G3299" s="52"/>
      <c r="H3299" s="52" t="s">
        <v>7604</v>
      </c>
      <c r="I3299" s="52"/>
      <c r="J3299" s="1"/>
      <c r="K3299" s="2" t="s">
        <v>7605</v>
      </c>
      <c r="L3299" s="1"/>
      <c r="M3299" s="1"/>
      <c r="N3299" s="1"/>
      <c r="O3299" s="1"/>
      <c r="P3299" s="6"/>
      <c r="Q3299" s="1"/>
      <c r="R3299" s="1"/>
      <c r="S3299" s="1"/>
      <c r="T3299" s="1"/>
      <c r="U3299" s="1"/>
      <c r="V3299" s="1"/>
      <c r="W3299" s="1"/>
      <c r="X3299" s="1"/>
      <c r="Y3299" s="1"/>
      <c r="Z3299" s="1"/>
    </row>
    <row r="3300" customFormat="false" ht="21.75" hidden="false" customHeight="true" outlineLevel="0" collapsed="false">
      <c r="A3300" s="4" t="n">
        <v>43507</v>
      </c>
      <c r="B3300" s="53" t="s">
        <v>352</v>
      </c>
      <c r="C3300" s="46" t="s">
        <v>15</v>
      </c>
      <c r="D3300" s="46" t="s">
        <v>43</v>
      </c>
      <c r="E3300" s="46" t="s">
        <v>109</v>
      </c>
      <c r="F3300" s="50" t="s">
        <v>6902</v>
      </c>
      <c r="G3300" s="51" t="n">
        <v>989243018</v>
      </c>
      <c r="H3300" s="52" t="s">
        <v>6903</v>
      </c>
      <c r="I3300" s="52"/>
      <c r="J3300" s="1"/>
      <c r="K3300" s="2" t="s">
        <v>1156</v>
      </c>
      <c r="L3300" s="1"/>
      <c r="M3300" s="1"/>
      <c r="N3300" s="1"/>
      <c r="O3300" s="1"/>
      <c r="P3300" s="6"/>
      <c r="Q3300" s="1"/>
      <c r="R3300" s="1"/>
      <c r="S3300" s="1"/>
      <c r="T3300" s="1"/>
      <c r="U3300" s="1"/>
      <c r="V3300" s="1"/>
      <c r="W3300" s="1"/>
      <c r="X3300" s="1"/>
      <c r="Y3300" s="1"/>
      <c r="Z3300" s="1"/>
    </row>
    <row r="3301" customFormat="false" ht="21.75" hidden="false" customHeight="true" outlineLevel="0" collapsed="false">
      <c r="A3301" s="4" t="n">
        <v>43507</v>
      </c>
      <c r="B3301" s="53" t="s">
        <v>532</v>
      </c>
      <c r="C3301" s="46" t="s">
        <v>15</v>
      </c>
      <c r="D3301" s="46" t="s">
        <v>43</v>
      </c>
      <c r="E3301" s="46" t="s">
        <v>109</v>
      </c>
      <c r="F3301" s="50" t="s">
        <v>7545</v>
      </c>
      <c r="G3301" s="51" t="n">
        <v>981664431</v>
      </c>
      <c r="H3301" s="52" t="s">
        <v>7606</v>
      </c>
      <c r="I3301" s="52"/>
      <c r="J3301" s="1"/>
      <c r="K3301" s="1" t="s">
        <v>21</v>
      </c>
      <c r="L3301" s="1"/>
      <c r="M3301" s="1"/>
      <c r="N3301" s="1"/>
      <c r="O3301" s="1"/>
      <c r="P3301" s="6"/>
      <c r="Q3301" s="1"/>
      <c r="R3301" s="1"/>
      <c r="S3301" s="1"/>
      <c r="T3301" s="1"/>
      <c r="U3301" s="1"/>
      <c r="V3301" s="1"/>
      <c r="W3301" s="1"/>
      <c r="X3301" s="1"/>
      <c r="Y3301" s="1"/>
      <c r="Z3301" s="1"/>
    </row>
    <row r="3302" customFormat="false" ht="21.75" hidden="false" customHeight="true" outlineLevel="0" collapsed="false">
      <c r="A3302" s="4" t="n">
        <v>43507</v>
      </c>
      <c r="B3302" s="53" t="s">
        <v>48</v>
      </c>
      <c r="C3302" s="46" t="s">
        <v>15</v>
      </c>
      <c r="D3302" s="46" t="s">
        <v>43</v>
      </c>
      <c r="E3302" s="46" t="s">
        <v>109</v>
      </c>
      <c r="F3302" s="50" t="s">
        <v>7607</v>
      </c>
      <c r="G3302" s="51" t="n">
        <v>988146257</v>
      </c>
      <c r="H3302" s="60" t="s">
        <v>7608</v>
      </c>
      <c r="I3302" s="52"/>
      <c r="J3302" s="1"/>
      <c r="K3302" s="1" t="s">
        <v>21</v>
      </c>
      <c r="L3302" s="1"/>
      <c r="M3302" s="1"/>
      <c r="N3302" s="1"/>
      <c r="O3302" s="1"/>
      <c r="P3302" s="6"/>
      <c r="Q3302" s="1"/>
      <c r="R3302" s="1"/>
      <c r="S3302" s="1"/>
      <c r="T3302" s="1"/>
      <c r="U3302" s="1"/>
      <c r="V3302" s="1"/>
      <c r="W3302" s="1"/>
      <c r="X3302" s="1"/>
      <c r="Y3302" s="1"/>
      <c r="Z3302" s="1"/>
    </row>
    <row r="3303" customFormat="false" ht="21.75" hidden="false" customHeight="true" outlineLevel="0" collapsed="false">
      <c r="A3303" s="4" t="n">
        <v>43507</v>
      </c>
      <c r="B3303" s="53" t="s">
        <v>352</v>
      </c>
      <c r="C3303" s="46" t="s">
        <v>15</v>
      </c>
      <c r="D3303" s="46" t="s">
        <v>43</v>
      </c>
      <c r="E3303" s="46" t="s">
        <v>109</v>
      </c>
      <c r="F3303" s="50" t="s">
        <v>7609</v>
      </c>
      <c r="G3303" s="51" t="n">
        <v>989907712</v>
      </c>
      <c r="H3303" s="52" t="s">
        <v>7610</v>
      </c>
      <c r="I3303" s="52"/>
      <c r="J3303" s="1"/>
      <c r="K3303" s="1" t="s">
        <v>7611</v>
      </c>
      <c r="L3303" s="1"/>
      <c r="M3303" s="1"/>
      <c r="N3303" s="1"/>
      <c r="O3303" s="1"/>
      <c r="P3303" s="6"/>
      <c r="Q3303" s="1"/>
      <c r="R3303" s="1"/>
      <c r="S3303" s="1"/>
      <c r="T3303" s="1"/>
      <c r="U3303" s="1"/>
      <c r="V3303" s="1"/>
      <c r="W3303" s="1"/>
      <c r="X3303" s="1"/>
      <c r="Y3303" s="1"/>
      <c r="Z3303" s="1"/>
    </row>
    <row r="3304" customFormat="false" ht="21.75" hidden="false" customHeight="true" outlineLevel="0" collapsed="false">
      <c r="A3304" s="21" t="n">
        <v>43508</v>
      </c>
      <c r="B3304" s="84" t="s">
        <v>48</v>
      </c>
      <c r="C3304" s="81" t="s">
        <v>15</v>
      </c>
      <c r="D3304" s="81" t="s">
        <v>43</v>
      </c>
      <c r="E3304" s="81" t="s">
        <v>44</v>
      </c>
      <c r="F3304" s="77" t="s">
        <v>7612</v>
      </c>
      <c r="G3304" s="78" t="n">
        <v>994746147</v>
      </c>
      <c r="H3304" s="74" t="s">
        <v>7613</v>
      </c>
      <c r="I3304" s="74"/>
      <c r="J3304" s="85"/>
      <c r="K3304" s="85"/>
      <c r="L3304" s="85"/>
      <c r="M3304" s="85"/>
      <c r="N3304" s="85"/>
      <c r="O3304" s="85"/>
      <c r="P3304" s="85"/>
      <c r="Q3304" s="85"/>
      <c r="R3304" s="85"/>
      <c r="S3304" s="85"/>
      <c r="T3304" s="85"/>
      <c r="U3304" s="85"/>
      <c r="V3304" s="85"/>
      <c r="W3304" s="85"/>
      <c r="X3304" s="85"/>
      <c r="Y3304" s="85"/>
      <c r="Z3304" s="85"/>
    </row>
    <row r="3305" customFormat="false" ht="21.75" hidden="false" customHeight="true" outlineLevel="0" collapsed="false">
      <c r="A3305" s="4" t="n">
        <v>43508</v>
      </c>
      <c r="B3305" s="61" t="s">
        <v>48</v>
      </c>
      <c r="C3305" s="46" t="s">
        <v>15</v>
      </c>
      <c r="D3305" s="46" t="s">
        <v>43</v>
      </c>
      <c r="E3305" s="46" t="s">
        <v>883</v>
      </c>
      <c r="F3305" s="50" t="s">
        <v>7614</v>
      </c>
      <c r="G3305" s="53"/>
      <c r="H3305" s="52" t="s">
        <v>7615</v>
      </c>
      <c r="I3305" s="52"/>
      <c r="J3305" s="1"/>
      <c r="K3305" s="1" t="s">
        <v>7616</v>
      </c>
      <c r="L3305" s="1"/>
      <c r="M3305" s="1"/>
      <c r="N3305" s="1"/>
      <c r="O3305" s="1"/>
      <c r="P3305" s="6"/>
      <c r="Q3305" s="1"/>
      <c r="R3305" s="1"/>
      <c r="S3305" s="1"/>
      <c r="T3305" s="1"/>
      <c r="U3305" s="1"/>
      <c r="V3305" s="1"/>
      <c r="W3305" s="1"/>
      <c r="X3305" s="1"/>
      <c r="Y3305" s="1"/>
      <c r="Z3305" s="1"/>
    </row>
    <row r="3306" customFormat="false" ht="21.75" hidden="false" customHeight="true" outlineLevel="0" collapsed="false">
      <c r="A3306" s="4" t="n">
        <v>43508</v>
      </c>
      <c r="B3306" s="61" t="s">
        <v>86</v>
      </c>
      <c r="C3306" s="46" t="s">
        <v>15</v>
      </c>
      <c r="D3306" s="46" t="s">
        <v>16</v>
      </c>
      <c r="E3306" s="46" t="s">
        <v>17</v>
      </c>
      <c r="F3306" s="50" t="s">
        <v>7617</v>
      </c>
      <c r="G3306" s="51" t="n">
        <v>969760785</v>
      </c>
      <c r="H3306" s="52" t="s">
        <v>7618</v>
      </c>
      <c r="I3306" s="52"/>
      <c r="J3306" s="1"/>
      <c r="K3306" s="1" t="s">
        <v>7616</v>
      </c>
      <c r="L3306" s="1" t="s">
        <v>7619</v>
      </c>
      <c r="M3306" s="1"/>
      <c r="N3306" s="1"/>
      <c r="O3306" s="1"/>
      <c r="P3306" s="6"/>
      <c r="Q3306" s="1"/>
      <c r="R3306" s="1"/>
      <c r="S3306" s="1"/>
      <c r="T3306" s="1"/>
      <c r="U3306" s="1"/>
      <c r="V3306" s="1"/>
      <c r="W3306" s="1"/>
      <c r="X3306" s="1"/>
      <c r="Y3306" s="1"/>
      <c r="Z3306" s="1"/>
    </row>
    <row r="3307" customFormat="false" ht="21.75" hidden="false" customHeight="true" outlineLevel="0" collapsed="false">
      <c r="A3307" s="4" t="n">
        <v>43508</v>
      </c>
      <c r="B3307" s="61" t="s">
        <v>48</v>
      </c>
      <c r="C3307" s="46" t="s">
        <v>15</v>
      </c>
      <c r="D3307" s="46" t="s">
        <v>43</v>
      </c>
      <c r="E3307" s="46" t="s">
        <v>883</v>
      </c>
      <c r="F3307" s="50" t="s">
        <v>7620</v>
      </c>
      <c r="G3307" s="51" t="n">
        <v>969623954</v>
      </c>
      <c r="H3307" s="52" t="s">
        <v>7621</v>
      </c>
      <c r="I3307" s="52"/>
      <c r="J3307" s="1"/>
      <c r="K3307" s="1" t="s">
        <v>7622</v>
      </c>
      <c r="L3307" s="1" t="s">
        <v>7619</v>
      </c>
      <c r="M3307" s="1"/>
      <c r="N3307" s="1"/>
      <c r="O3307" s="1"/>
      <c r="P3307" s="6"/>
      <c r="Q3307" s="1"/>
      <c r="R3307" s="1"/>
      <c r="S3307" s="1"/>
      <c r="T3307" s="1"/>
      <c r="U3307" s="1"/>
      <c r="V3307" s="1"/>
      <c r="W3307" s="1"/>
      <c r="X3307" s="1"/>
      <c r="Y3307" s="1"/>
      <c r="Z3307" s="1"/>
    </row>
    <row r="3308" customFormat="false" ht="21.75" hidden="false" customHeight="true" outlineLevel="0" collapsed="false">
      <c r="A3308" s="4" t="n">
        <v>43508</v>
      </c>
      <c r="B3308" s="61" t="s">
        <v>48</v>
      </c>
      <c r="C3308" s="46" t="s">
        <v>15</v>
      </c>
      <c r="D3308" s="46" t="s">
        <v>43</v>
      </c>
      <c r="E3308" s="46" t="s">
        <v>109</v>
      </c>
      <c r="F3308" s="50" t="s">
        <v>7623</v>
      </c>
      <c r="G3308" s="51" t="n">
        <v>939847299</v>
      </c>
      <c r="H3308" s="52" t="s">
        <v>7624</v>
      </c>
      <c r="I3308" s="52"/>
      <c r="J3308" s="1"/>
      <c r="K3308" s="1" t="s">
        <v>7616</v>
      </c>
      <c r="L3308" s="1"/>
      <c r="M3308" s="1"/>
      <c r="N3308" s="1"/>
      <c r="O3308" s="1"/>
      <c r="P3308" s="6"/>
      <c r="Q3308" s="1"/>
      <c r="R3308" s="1"/>
      <c r="S3308" s="1"/>
      <c r="T3308" s="1"/>
      <c r="U3308" s="1"/>
      <c r="V3308" s="1"/>
      <c r="W3308" s="1"/>
      <c r="X3308" s="1"/>
      <c r="Y3308" s="1"/>
      <c r="Z3308" s="1"/>
    </row>
    <row r="3309" customFormat="false" ht="21.75" hidden="false" customHeight="true" outlineLevel="0" collapsed="false">
      <c r="A3309" s="4" t="n">
        <v>43508</v>
      </c>
      <c r="B3309" s="61" t="s">
        <v>48</v>
      </c>
      <c r="C3309" s="46" t="s">
        <v>15</v>
      </c>
      <c r="D3309" s="46" t="s">
        <v>43</v>
      </c>
      <c r="E3309" s="46" t="s">
        <v>44</v>
      </c>
      <c r="F3309" s="50" t="s">
        <v>7625</v>
      </c>
      <c r="G3309" s="51" t="n">
        <v>994512003</v>
      </c>
      <c r="H3309" s="52" t="s">
        <v>7626</v>
      </c>
      <c r="I3309" s="52"/>
      <c r="J3309" s="1"/>
      <c r="K3309" s="1" t="s">
        <v>7616</v>
      </c>
      <c r="L3309" s="1"/>
      <c r="M3309" s="1"/>
      <c r="N3309" s="1"/>
      <c r="O3309" s="1"/>
      <c r="P3309" s="6"/>
      <c r="Q3309" s="1"/>
      <c r="R3309" s="1"/>
      <c r="S3309" s="1"/>
      <c r="T3309" s="1"/>
      <c r="U3309" s="1"/>
      <c r="V3309" s="1"/>
      <c r="W3309" s="1"/>
      <c r="X3309" s="1"/>
      <c r="Y3309" s="1"/>
      <c r="Z3309" s="1"/>
    </row>
    <row r="3310" customFormat="false" ht="21.75" hidden="false" customHeight="true" outlineLevel="0" collapsed="false">
      <c r="A3310" s="4" t="n">
        <v>43508</v>
      </c>
      <c r="B3310" s="46" t="s">
        <v>1114</v>
      </c>
      <c r="C3310" s="46" t="s">
        <v>15</v>
      </c>
      <c r="D3310" s="46" t="s">
        <v>43</v>
      </c>
      <c r="E3310" s="46" t="s">
        <v>109</v>
      </c>
      <c r="F3310" s="46" t="s">
        <v>7627</v>
      </c>
      <c r="G3310" s="46" t="n">
        <f aca="false">+593987843536</f>
        <v>593987843536</v>
      </c>
      <c r="H3310" s="46" t="s">
        <v>7628</v>
      </c>
      <c r="I3310" s="46"/>
      <c r="J3310" s="1"/>
      <c r="K3310" s="1" t="s">
        <v>7616</v>
      </c>
      <c r="L3310" s="1"/>
      <c r="M3310" s="1"/>
      <c r="N3310" s="1"/>
      <c r="O3310" s="1"/>
      <c r="P3310" s="6"/>
      <c r="Q3310" s="1"/>
      <c r="R3310" s="1"/>
      <c r="S3310" s="1"/>
      <c r="T3310" s="1"/>
      <c r="U3310" s="1"/>
      <c r="V3310" s="1"/>
      <c r="W3310" s="1"/>
      <c r="X3310" s="1"/>
      <c r="Y3310" s="1"/>
      <c r="Z3310" s="1"/>
    </row>
    <row r="3311" customFormat="false" ht="21.75" hidden="false" customHeight="true" outlineLevel="0" collapsed="false">
      <c r="A3311" s="4" t="n">
        <v>43508</v>
      </c>
      <c r="B3311" s="46" t="s">
        <v>48</v>
      </c>
      <c r="C3311" s="46" t="s">
        <v>15</v>
      </c>
      <c r="D3311" s="46" t="s">
        <v>43</v>
      </c>
      <c r="E3311" s="46" t="s">
        <v>109</v>
      </c>
      <c r="F3311" s="46" t="s">
        <v>7629</v>
      </c>
      <c r="G3311" s="57" t="n">
        <v>989110957</v>
      </c>
      <c r="H3311" s="46" t="s">
        <v>7630</v>
      </c>
      <c r="I3311" s="46"/>
      <c r="J3311" s="1"/>
      <c r="K3311" s="1" t="s">
        <v>7616</v>
      </c>
      <c r="L3311" s="1"/>
      <c r="M3311" s="1"/>
      <c r="N3311" s="1"/>
      <c r="O3311" s="1"/>
      <c r="P3311" s="6"/>
      <c r="Q3311" s="1"/>
      <c r="R3311" s="1"/>
      <c r="S3311" s="1"/>
      <c r="T3311" s="1"/>
      <c r="U3311" s="1"/>
      <c r="V3311" s="1"/>
      <c r="W3311" s="1"/>
      <c r="X3311" s="1"/>
      <c r="Y3311" s="1"/>
      <c r="Z3311" s="1"/>
    </row>
    <row r="3312" customFormat="false" ht="21.75" hidden="false" customHeight="true" outlineLevel="0" collapsed="false">
      <c r="A3312" s="4" t="n">
        <v>43508</v>
      </c>
      <c r="B3312" s="46" t="s">
        <v>48</v>
      </c>
      <c r="C3312" s="46" t="s">
        <v>15</v>
      </c>
      <c r="D3312" s="46" t="s">
        <v>43</v>
      </c>
      <c r="E3312" s="46" t="s">
        <v>109</v>
      </c>
      <c r="F3312" s="46" t="s">
        <v>7631</v>
      </c>
      <c r="G3312" s="46" t="n">
        <f aca="false">+5930997290276</f>
        <v>5930997290276</v>
      </c>
      <c r="H3312" s="46" t="s">
        <v>7632</v>
      </c>
      <c r="I3312" s="46"/>
      <c r="J3312" s="1"/>
      <c r="K3312" s="1" t="s">
        <v>7616</v>
      </c>
      <c r="L3312" s="1"/>
      <c r="M3312" s="1"/>
      <c r="N3312" s="1"/>
      <c r="O3312" s="1"/>
      <c r="P3312" s="6"/>
      <c r="Q3312" s="1"/>
      <c r="R3312" s="1"/>
      <c r="S3312" s="1"/>
      <c r="T3312" s="1"/>
      <c r="U3312" s="1"/>
      <c r="V3312" s="1"/>
      <c r="W3312" s="1"/>
      <c r="X3312" s="1"/>
      <c r="Y3312" s="1"/>
      <c r="Z3312" s="1"/>
    </row>
    <row r="3313" customFormat="false" ht="21.75" hidden="false" customHeight="true" outlineLevel="0" collapsed="false">
      <c r="A3313" s="4" t="n">
        <v>43508</v>
      </c>
      <c r="B3313" s="46" t="s">
        <v>48</v>
      </c>
      <c r="C3313" s="46" t="s">
        <v>26</v>
      </c>
      <c r="D3313" s="46" t="s">
        <v>43</v>
      </c>
      <c r="E3313" s="46" t="s">
        <v>109</v>
      </c>
      <c r="F3313" s="46" t="s">
        <v>7633</v>
      </c>
      <c r="G3313" s="57" t="n">
        <v>984122492</v>
      </c>
      <c r="H3313" s="46" t="s">
        <v>7634</v>
      </c>
      <c r="I3313" s="46"/>
      <c r="J3313" s="1"/>
      <c r="K3313" s="1" t="s">
        <v>7616</v>
      </c>
      <c r="L3313" s="1"/>
      <c r="M3313" s="1"/>
      <c r="N3313" s="1"/>
      <c r="O3313" s="1"/>
      <c r="P3313" s="6"/>
      <c r="Q3313" s="1"/>
      <c r="R3313" s="1"/>
      <c r="S3313" s="1"/>
      <c r="T3313" s="1"/>
      <c r="U3313" s="1"/>
      <c r="V3313" s="1"/>
      <c r="W3313" s="1"/>
      <c r="X3313" s="1"/>
      <c r="Y3313" s="1"/>
      <c r="Z3313" s="1"/>
    </row>
    <row r="3314" customFormat="false" ht="21.75" hidden="false" customHeight="true" outlineLevel="0" collapsed="false">
      <c r="A3314" s="4" t="n">
        <v>43508</v>
      </c>
      <c r="B3314" s="46" t="s">
        <v>352</v>
      </c>
      <c r="C3314" s="46" t="s">
        <v>15</v>
      </c>
      <c r="D3314" s="46" t="s">
        <v>43</v>
      </c>
      <c r="E3314" s="46" t="s">
        <v>109</v>
      </c>
      <c r="F3314" s="46" t="s">
        <v>7635</v>
      </c>
      <c r="G3314" s="46" t="n">
        <f aca="false">+5930982523070</f>
        <v>5930982523070</v>
      </c>
      <c r="H3314" s="46" t="s">
        <v>7636</v>
      </c>
      <c r="I3314" s="46"/>
      <c r="J3314" s="1"/>
      <c r="K3314" s="1" t="s">
        <v>7616</v>
      </c>
      <c r="L3314" s="1"/>
      <c r="M3314" s="1"/>
      <c r="N3314" s="1"/>
      <c r="O3314" s="1"/>
      <c r="P3314" s="6"/>
      <c r="Q3314" s="1"/>
      <c r="R3314" s="1"/>
      <c r="S3314" s="1"/>
      <c r="T3314" s="1"/>
      <c r="U3314" s="1"/>
      <c r="V3314" s="1"/>
      <c r="W3314" s="1"/>
      <c r="X3314" s="1"/>
      <c r="Y3314" s="1"/>
      <c r="Z3314" s="1"/>
    </row>
    <row r="3315" customFormat="false" ht="21.75" hidden="false" customHeight="true" outlineLevel="0" collapsed="false">
      <c r="A3315" s="4" t="n">
        <v>43508</v>
      </c>
      <c r="B3315" s="46" t="s">
        <v>127</v>
      </c>
      <c r="C3315" s="46" t="s">
        <v>15</v>
      </c>
      <c r="D3315" s="46" t="s">
        <v>43</v>
      </c>
      <c r="E3315" s="46" t="s">
        <v>109</v>
      </c>
      <c r="F3315" s="46" t="s">
        <v>7637</v>
      </c>
      <c r="G3315" s="46" t="n">
        <f aca="false">+5930979496398</f>
        <v>5930979496398</v>
      </c>
      <c r="H3315" s="46" t="s">
        <v>7638</v>
      </c>
      <c r="I3315" s="46"/>
      <c r="J3315" s="1"/>
      <c r="K3315" s="1" t="s">
        <v>7616</v>
      </c>
      <c r="L3315" s="1"/>
      <c r="M3315" s="1"/>
      <c r="N3315" s="1"/>
      <c r="O3315" s="1"/>
      <c r="P3315" s="6"/>
      <c r="Q3315" s="1"/>
      <c r="R3315" s="1"/>
      <c r="S3315" s="1"/>
      <c r="T3315" s="1"/>
      <c r="U3315" s="1"/>
      <c r="V3315" s="1"/>
      <c r="W3315" s="1"/>
      <c r="X3315" s="1"/>
      <c r="Y3315" s="1"/>
      <c r="Z3315" s="1"/>
    </row>
    <row r="3316" customFormat="false" ht="21.75" hidden="false" customHeight="true" outlineLevel="0" collapsed="false">
      <c r="A3316" s="4" t="n">
        <v>43508</v>
      </c>
      <c r="B3316" s="46" t="s">
        <v>1114</v>
      </c>
      <c r="C3316" s="46" t="s">
        <v>15</v>
      </c>
      <c r="D3316" s="46" t="s">
        <v>43</v>
      </c>
      <c r="E3316" s="46" t="s">
        <v>109</v>
      </c>
      <c r="F3316" s="46" t="s">
        <v>7639</v>
      </c>
      <c r="G3316" s="46" t="n">
        <f aca="false">+593999811768</f>
        <v>593999811768</v>
      </c>
      <c r="H3316" s="46" t="s">
        <v>7640</v>
      </c>
      <c r="I3316" s="46"/>
      <c r="J3316" s="1"/>
      <c r="K3316" s="1" t="s">
        <v>7616</v>
      </c>
      <c r="L3316" s="1"/>
      <c r="M3316" s="1"/>
      <c r="N3316" s="1"/>
      <c r="O3316" s="1"/>
      <c r="P3316" s="6"/>
      <c r="Q3316" s="1"/>
      <c r="R3316" s="1"/>
      <c r="S3316" s="1"/>
      <c r="T3316" s="1"/>
      <c r="U3316" s="1"/>
      <c r="V3316" s="1"/>
      <c r="W3316" s="1"/>
      <c r="X3316" s="1"/>
      <c r="Y3316" s="1"/>
      <c r="Z3316" s="1"/>
    </row>
    <row r="3317" customFormat="false" ht="21.75" hidden="false" customHeight="true" outlineLevel="0" collapsed="false">
      <c r="A3317" s="4" t="n">
        <v>43508</v>
      </c>
      <c r="B3317" s="46" t="s">
        <v>1106</v>
      </c>
      <c r="C3317" s="46" t="s">
        <v>15</v>
      </c>
      <c r="D3317" s="46" t="s">
        <v>43</v>
      </c>
      <c r="E3317" s="46" t="s">
        <v>109</v>
      </c>
      <c r="F3317" s="46" t="s">
        <v>7641</v>
      </c>
      <c r="G3317" s="46" t="n">
        <f aca="false">+593987695626</f>
        <v>593987695626</v>
      </c>
      <c r="H3317" s="46" t="s">
        <v>7642</v>
      </c>
      <c r="I3317" s="46"/>
      <c r="J3317" s="1"/>
      <c r="K3317" s="1" t="s">
        <v>7616</v>
      </c>
      <c r="L3317" s="1"/>
      <c r="M3317" s="1"/>
      <c r="N3317" s="1"/>
      <c r="O3317" s="1"/>
      <c r="P3317" s="6"/>
      <c r="Q3317" s="1"/>
      <c r="R3317" s="1"/>
      <c r="S3317" s="1"/>
      <c r="T3317" s="1"/>
      <c r="U3317" s="1"/>
      <c r="V3317" s="1"/>
      <c r="W3317" s="1"/>
      <c r="X3317" s="1"/>
      <c r="Y3317" s="1"/>
      <c r="Z3317" s="1"/>
    </row>
    <row r="3318" customFormat="false" ht="21.75" hidden="false" customHeight="true" outlineLevel="0" collapsed="false">
      <c r="A3318" s="4" t="n">
        <v>43508</v>
      </c>
      <c r="B3318" s="46" t="s">
        <v>178</v>
      </c>
      <c r="C3318" s="46" t="s">
        <v>15</v>
      </c>
      <c r="D3318" s="46" t="s">
        <v>43</v>
      </c>
      <c r="E3318" s="46" t="s">
        <v>109</v>
      </c>
      <c r="F3318" s="46" t="s">
        <v>7643</v>
      </c>
      <c r="G3318" s="46" t="n">
        <f aca="false">+5930997755000</f>
        <v>5930997755000</v>
      </c>
      <c r="H3318" s="46" t="s">
        <v>7644</v>
      </c>
      <c r="I3318" s="46"/>
      <c r="J3318" s="1"/>
      <c r="K3318" s="1" t="s">
        <v>7616</v>
      </c>
      <c r="L3318" s="1"/>
      <c r="M3318" s="1"/>
      <c r="N3318" s="1"/>
      <c r="O3318" s="1"/>
      <c r="P3318" s="6"/>
      <c r="Q3318" s="1"/>
      <c r="R3318" s="1"/>
      <c r="S3318" s="1"/>
      <c r="T3318" s="1"/>
      <c r="U3318" s="1"/>
      <c r="V3318" s="1"/>
      <c r="W3318" s="1"/>
      <c r="X3318" s="1"/>
      <c r="Y3318" s="1"/>
      <c r="Z3318" s="1"/>
    </row>
    <row r="3319" customFormat="false" ht="21.75" hidden="false" customHeight="true" outlineLevel="0" collapsed="false">
      <c r="A3319" s="4" t="n">
        <v>43508</v>
      </c>
      <c r="B3319" s="46" t="s">
        <v>81</v>
      </c>
      <c r="C3319" s="46" t="s">
        <v>15</v>
      </c>
      <c r="D3319" s="46" t="s">
        <v>43</v>
      </c>
      <c r="E3319" s="46" t="s">
        <v>109</v>
      </c>
      <c r="F3319" s="46" t="s">
        <v>7645</v>
      </c>
      <c r="G3319" s="46" t="n">
        <f aca="false">+593992729517</f>
        <v>593992729517</v>
      </c>
      <c r="H3319" s="46" t="s">
        <v>7646</v>
      </c>
      <c r="I3319" s="46"/>
      <c r="J3319" s="1"/>
      <c r="K3319" s="1" t="s">
        <v>7616</v>
      </c>
      <c r="L3319" s="1"/>
      <c r="M3319" s="1"/>
      <c r="N3319" s="1"/>
      <c r="O3319" s="1"/>
      <c r="P3319" s="6"/>
      <c r="Q3319" s="1"/>
      <c r="R3319" s="1"/>
      <c r="S3319" s="1"/>
      <c r="T3319" s="1"/>
      <c r="U3319" s="1"/>
      <c r="V3319" s="1"/>
      <c r="W3319" s="1"/>
      <c r="X3319" s="1"/>
      <c r="Y3319" s="1"/>
      <c r="Z3319" s="1"/>
    </row>
    <row r="3320" customFormat="false" ht="21.75" hidden="false" customHeight="true" outlineLevel="0" collapsed="false">
      <c r="A3320" s="4" t="n">
        <v>43508</v>
      </c>
      <c r="B3320" s="46" t="s">
        <v>1106</v>
      </c>
      <c r="C3320" s="46" t="s">
        <v>26</v>
      </c>
      <c r="D3320" s="46" t="s">
        <v>43</v>
      </c>
      <c r="E3320" s="46" t="s">
        <v>109</v>
      </c>
      <c r="F3320" s="46" t="s">
        <v>7647</v>
      </c>
      <c r="G3320" s="46" t="n">
        <f aca="false">+593979280177</f>
        <v>593979280177</v>
      </c>
      <c r="H3320" s="46" t="s">
        <v>7648</v>
      </c>
      <c r="I3320" s="46"/>
      <c r="J3320" s="1"/>
      <c r="K3320" s="1" t="s">
        <v>7616</v>
      </c>
      <c r="L3320" s="1"/>
      <c r="M3320" s="1"/>
      <c r="N3320" s="1"/>
      <c r="O3320" s="1"/>
      <c r="P3320" s="6"/>
      <c r="Q3320" s="1"/>
      <c r="R3320" s="1"/>
      <c r="S3320" s="1"/>
      <c r="T3320" s="1"/>
      <c r="U3320" s="1"/>
      <c r="V3320" s="1"/>
      <c r="W3320" s="1"/>
      <c r="X3320" s="1"/>
      <c r="Y3320" s="1"/>
      <c r="Z3320" s="1"/>
    </row>
    <row r="3321" customFormat="false" ht="21.75" hidden="false" customHeight="true" outlineLevel="0" collapsed="false">
      <c r="A3321" s="4" t="n">
        <v>43508</v>
      </c>
      <c r="B3321" s="46" t="s">
        <v>1106</v>
      </c>
      <c r="C3321" s="46" t="s">
        <v>15</v>
      </c>
      <c r="D3321" s="46" t="s">
        <v>43</v>
      </c>
      <c r="E3321" s="46" t="s">
        <v>109</v>
      </c>
      <c r="F3321" s="46" t="s">
        <v>7649</v>
      </c>
      <c r="G3321" s="46" t="n">
        <f aca="false">+593982378873</f>
        <v>593982378873</v>
      </c>
      <c r="H3321" s="46" t="s">
        <v>7650</v>
      </c>
      <c r="I3321" s="46"/>
      <c r="J3321" s="1"/>
      <c r="K3321" s="1" t="s">
        <v>7616</v>
      </c>
      <c r="L3321" s="1"/>
      <c r="M3321" s="1"/>
      <c r="N3321" s="1"/>
      <c r="O3321" s="1"/>
      <c r="P3321" s="6"/>
      <c r="Q3321" s="1"/>
      <c r="R3321" s="1"/>
      <c r="S3321" s="1"/>
      <c r="T3321" s="1"/>
      <c r="U3321" s="1"/>
      <c r="V3321" s="1"/>
      <c r="W3321" s="1"/>
      <c r="X3321" s="1"/>
      <c r="Y3321" s="1"/>
      <c r="Z3321" s="1"/>
    </row>
    <row r="3322" customFormat="false" ht="21.75" hidden="false" customHeight="true" outlineLevel="0" collapsed="false">
      <c r="A3322" s="4" t="n">
        <v>43508</v>
      </c>
      <c r="B3322" s="46" t="s">
        <v>415</v>
      </c>
      <c r="C3322" s="46" t="s">
        <v>15</v>
      </c>
      <c r="D3322" s="46" t="s">
        <v>43</v>
      </c>
      <c r="E3322" s="46" t="s">
        <v>109</v>
      </c>
      <c r="F3322" s="46" t="s">
        <v>7651</v>
      </c>
      <c r="G3322" s="46" t="n">
        <f aca="false">+593988823071</f>
        <v>593988823071</v>
      </c>
      <c r="H3322" s="46" t="s">
        <v>7652</v>
      </c>
      <c r="I3322" s="46"/>
      <c r="J3322" s="1"/>
      <c r="K3322" s="1" t="s">
        <v>7616</v>
      </c>
      <c r="L3322" s="1"/>
      <c r="M3322" s="1"/>
      <c r="N3322" s="1"/>
      <c r="O3322" s="1"/>
      <c r="P3322" s="6"/>
      <c r="Q3322" s="1"/>
      <c r="R3322" s="1"/>
      <c r="S3322" s="1"/>
      <c r="T3322" s="1"/>
      <c r="U3322" s="1"/>
      <c r="V3322" s="1"/>
      <c r="W3322" s="1"/>
      <c r="X3322" s="1"/>
      <c r="Y3322" s="1"/>
      <c r="Z3322" s="1"/>
    </row>
    <row r="3323" customFormat="false" ht="21.75" hidden="false" customHeight="true" outlineLevel="0" collapsed="false">
      <c r="A3323" s="4" t="n">
        <v>43508</v>
      </c>
      <c r="B3323" s="46" t="s">
        <v>352</v>
      </c>
      <c r="C3323" s="46" t="s">
        <v>15</v>
      </c>
      <c r="D3323" s="46" t="s">
        <v>43</v>
      </c>
      <c r="E3323" s="46" t="s">
        <v>109</v>
      </c>
      <c r="F3323" s="46" t="s">
        <v>7653</v>
      </c>
      <c r="G3323" s="57" t="n">
        <v>960547714</v>
      </c>
      <c r="H3323" s="46" t="s">
        <v>7654</v>
      </c>
      <c r="I3323" s="46"/>
      <c r="J3323" s="1"/>
      <c r="K3323" s="1" t="s">
        <v>7616</v>
      </c>
      <c r="L3323" s="1"/>
      <c r="M3323" s="1"/>
      <c r="N3323" s="1"/>
      <c r="O3323" s="1"/>
      <c r="P3323" s="6"/>
      <c r="Q3323" s="1"/>
      <c r="R3323" s="1"/>
      <c r="S3323" s="1"/>
      <c r="T3323" s="1"/>
      <c r="U3323" s="1"/>
      <c r="V3323" s="1"/>
      <c r="W3323" s="1"/>
      <c r="X3323" s="1"/>
      <c r="Y3323" s="1"/>
      <c r="Z3323" s="1"/>
    </row>
    <row r="3324" customFormat="false" ht="21.75" hidden="false" customHeight="true" outlineLevel="0" collapsed="false">
      <c r="A3324" s="4" t="n">
        <v>43508</v>
      </c>
      <c r="B3324" s="46" t="s">
        <v>48</v>
      </c>
      <c r="C3324" s="46" t="s">
        <v>15</v>
      </c>
      <c r="D3324" s="46" t="s">
        <v>43</v>
      </c>
      <c r="E3324" s="46" t="s">
        <v>109</v>
      </c>
      <c r="F3324" s="46" t="s">
        <v>7655</v>
      </c>
      <c r="G3324" s="46" t="n">
        <f aca="false">+5930997620466</f>
        <v>5930997620466</v>
      </c>
      <c r="H3324" s="46" t="s">
        <v>7656</v>
      </c>
      <c r="I3324" s="46"/>
      <c r="J3324" s="1"/>
      <c r="K3324" s="1" t="s">
        <v>7616</v>
      </c>
      <c r="L3324" s="1"/>
      <c r="M3324" s="1"/>
      <c r="N3324" s="1"/>
      <c r="O3324" s="1"/>
      <c r="P3324" s="6"/>
      <c r="Q3324" s="1"/>
      <c r="R3324" s="1"/>
      <c r="S3324" s="1"/>
      <c r="T3324" s="1"/>
      <c r="U3324" s="1"/>
      <c r="V3324" s="1"/>
      <c r="W3324" s="1"/>
      <c r="X3324" s="1"/>
      <c r="Y3324" s="1"/>
      <c r="Z3324" s="1"/>
    </row>
    <row r="3325" customFormat="false" ht="21.75" hidden="false" customHeight="true" outlineLevel="0" collapsed="false">
      <c r="A3325" s="4" t="n">
        <v>43508</v>
      </c>
      <c r="B3325" s="46" t="s">
        <v>1106</v>
      </c>
      <c r="C3325" s="46" t="s">
        <v>15</v>
      </c>
      <c r="D3325" s="46" t="s">
        <v>43</v>
      </c>
      <c r="E3325" s="46" t="s">
        <v>109</v>
      </c>
      <c r="F3325" s="46" t="s">
        <v>7657</v>
      </c>
      <c r="G3325" s="46" t="n">
        <f aca="false">+5930991911445</f>
        <v>5930991911445</v>
      </c>
      <c r="H3325" s="46" t="s">
        <v>7658</v>
      </c>
      <c r="I3325" s="46"/>
      <c r="J3325" s="1"/>
      <c r="K3325" s="1" t="s">
        <v>7616</v>
      </c>
      <c r="L3325" s="1"/>
      <c r="M3325" s="1"/>
      <c r="N3325" s="1"/>
      <c r="O3325" s="1"/>
      <c r="P3325" s="6"/>
      <c r="Q3325" s="1"/>
      <c r="R3325" s="1"/>
      <c r="S3325" s="1"/>
      <c r="T3325" s="1"/>
      <c r="U3325" s="1"/>
      <c r="V3325" s="1"/>
      <c r="W3325" s="1"/>
      <c r="X3325" s="1"/>
      <c r="Y3325" s="1"/>
      <c r="Z3325" s="1"/>
    </row>
    <row r="3326" customFormat="false" ht="21.75" hidden="false" customHeight="true" outlineLevel="0" collapsed="false">
      <c r="A3326" s="4" t="n">
        <v>43508</v>
      </c>
      <c r="B3326" s="46" t="s">
        <v>81</v>
      </c>
      <c r="C3326" s="46" t="s">
        <v>15</v>
      </c>
      <c r="D3326" s="46" t="s">
        <v>43</v>
      </c>
      <c r="E3326" s="46" t="s">
        <v>109</v>
      </c>
      <c r="F3326" s="46" t="s">
        <v>7659</v>
      </c>
      <c r="G3326" s="46" t="n">
        <f aca="false">+593994043263</f>
        <v>593994043263</v>
      </c>
      <c r="H3326" s="46" t="s">
        <v>7660</v>
      </c>
      <c r="I3326" s="46"/>
      <c r="J3326" s="1"/>
      <c r="K3326" s="1" t="s">
        <v>7616</v>
      </c>
      <c r="L3326" s="1"/>
      <c r="M3326" s="1"/>
      <c r="N3326" s="1"/>
      <c r="O3326" s="1"/>
      <c r="P3326" s="6"/>
      <c r="Q3326" s="1"/>
      <c r="R3326" s="1"/>
      <c r="S3326" s="1"/>
      <c r="T3326" s="1"/>
      <c r="U3326" s="1"/>
      <c r="V3326" s="1"/>
      <c r="W3326" s="1"/>
      <c r="X3326" s="1"/>
      <c r="Y3326" s="1"/>
      <c r="Z3326" s="1"/>
    </row>
    <row r="3327" customFormat="false" ht="21.75" hidden="false" customHeight="true" outlineLevel="0" collapsed="false">
      <c r="A3327" s="4" t="n">
        <v>43508</v>
      </c>
      <c r="B3327" s="46" t="s">
        <v>1114</v>
      </c>
      <c r="C3327" s="46" t="s">
        <v>26</v>
      </c>
      <c r="D3327" s="46" t="s">
        <v>43</v>
      </c>
      <c r="E3327" s="46" t="s">
        <v>109</v>
      </c>
      <c r="F3327" s="46" t="s">
        <v>7661</v>
      </c>
      <c r="G3327" s="46" t="n">
        <f aca="false">+593988791570</f>
        <v>593988791570</v>
      </c>
      <c r="H3327" s="46" t="s">
        <v>7662</v>
      </c>
      <c r="I3327" s="46"/>
      <c r="J3327" s="1"/>
      <c r="K3327" s="1" t="s">
        <v>7616</v>
      </c>
      <c r="L3327" s="1"/>
      <c r="M3327" s="1"/>
      <c r="N3327" s="1"/>
      <c r="O3327" s="1"/>
      <c r="P3327" s="6"/>
      <c r="Q3327" s="1"/>
      <c r="R3327" s="1"/>
      <c r="S3327" s="1"/>
      <c r="T3327" s="1"/>
      <c r="U3327" s="1"/>
      <c r="V3327" s="1"/>
      <c r="W3327" s="1"/>
      <c r="X3327" s="1"/>
      <c r="Y3327" s="1"/>
      <c r="Z3327" s="1"/>
    </row>
    <row r="3328" customFormat="false" ht="21.75" hidden="false" customHeight="true" outlineLevel="0" collapsed="false">
      <c r="A3328" s="4" t="n">
        <v>43508</v>
      </c>
      <c r="B3328" s="46" t="s">
        <v>1114</v>
      </c>
      <c r="C3328" s="46" t="s">
        <v>15</v>
      </c>
      <c r="D3328" s="46" t="s">
        <v>43</v>
      </c>
      <c r="E3328" s="46" t="s">
        <v>109</v>
      </c>
      <c r="F3328" s="46" t="s">
        <v>7663</v>
      </c>
      <c r="G3328" s="46" t="n">
        <f aca="false">+593967884750</f>
        <v>593967884750</v>
      </c>
      <c r="H3328" s="46" t="s">
        <v>7664</v>
      </c>
      <c r="I3328" s="46"/>
      <c r="J3328" s="1"/>
      <c r="K3328" s="1" t="s">
        <v>7616</v>
      </c>
      <c r="L3328" s="1"/>
      <c r="M3328" s="1"/>
      <c r="N3328" s="1"/>
      <c r="O3328" s="1"/>
      <c r="P3328" s="6"/>
      <c r="Q3328" s="1"/>
      <c r="R3328" s="1"/>
      <c r="S3328" s="1"/>
      <c r="T3328" s="1"/>
      <c r="U3328" s="1"/>
      <c r="V3328" s="1"/>
      <c r="W3328" s="1"/>
      <c r="X3328" s="1"/>
      <c r="Y3328" s="1"/>
      <c r="Z3328" s="1"/>
    </row>
    <row r="3329" customFormat="false" ht="21.75" hidden="false" customHeight="true" outlineLevel="0" collapsed="false">
      <c r="A3329" s="4" t="n">
        <v>43508</v>
      </c>
      <c r="B3329" s="46" t="s">
        <v>1114</v>
      </c>
      <c r="C3329" s="46" t="s">
        <v>15</v>
      </c>
      <c r="D3329" s="46" t="s">
        <v>43</v>
      </c>
      <c r="E3329" s="46" t="s">
        <v>109</v>
      </c>
      <c r="F3329" s="46" t="s">
        <v>7665</v>
      </c>
      <c r="G3329" s="46" t="n">
        <f aca="false">+593989255273</f>
        <v>593989255273</v>
      </c>
      <c r="H3329" s="46" t="s">
        <v>7666</v>
      </c>
      <c r="I3329" s="46"/>
      <c r="J3329" s="1"/>
      <c r="K3329" s="1" t="s">
        <v>7616</v>
      </c>
      <c r="L3329" s="1"/>
      <c r="M3329" s="1"/>
      <c r="N3329" s="1"/>
      <c r="O3329" s="1"/>
      <c r="P3329" s="6"/>
      <c r="Q3329" s="1"/>
      <c r="R3329" s="1"/>
      <c r="S3329" s="1"/>
      <c r="T3329" s="1"/>
      <c r="U3329" s="1"/>
      <c r="V3329" s="1"/>
      <c r="W3329" s="1"/>
      <c r="X3329" s="1"/>
      <c r="Y3329" s="1"/>
      <c r="Z3329" s="1"/>
    </row>
    <row r="3330" customFormat="false" ht="21.75" hidden="false" customHeight="true" outlineLevel="0" collapsed="false">
      <c r="A3330" s="4" t="n">
        <v>43508</v>
      </c>
      <c r="B3330" s="46" t="s">
        <v>532</v>
      </c>
      <c r="C3330" s="46" t="s">
        <v>15</v>
      </c>
      <c r="D3330" s="46" t="s">
        <v>43</v>
      </c>
      <c r="E3330" s="46" t="s">
        <v>109</v>
      </c>
      <c r="F3330" s="46" t="s">
        <v>7667</v>
      </c>
      <c r="G3330" s="46" t="n">
        <f aca="false">+593981163292</f>
        <v>593981163292</v>
      </c>
      <c r="H3330" s="46" t="s">
        <v>7668</v>
      </c>
      <c r="I3330" s="46"/>
      <c r="J3330" s="1"/>
      <c r="K3330" s="1" t="s">
        <v>7616</v>
      </c>
      <c r="L3330" s="1"/>
      <c r="M3330" s="1"/>
      <c r="N3330" s="1"/>
      <c r="O3330" s="1"/>
      <c r="P3330" s="6"/>
      <c r="Q3330" s="1"/>
      <c r="R3330" s="1"/>
      <c r="S3330" s="1"/>
      <c r="T3330" s="1"/>
      <c r="U3330" s="1"/>
      <c r="V3330" s="1"/>
      <c r="W3330" s="1"/>
      <c r="X3330" s="1"/>
      <c r="Y3330" s="1"/>
      <c r="Z3330" s="1"/>
    </row>
    <row r="3331" customFormat="false" ht="21.75" hidden="false" customHeight="true" outlineLevel="0" collapsed="false">
      <c r="A3331" s="4" t="n">
        <v>43508</v>
      </c>
      <c r="B3331" s="46" t="s">
        <v>48</v>
      </c>
      <c r="C3331" s="46" t="s">
        <v>15</v>
      </c>
      <c r="D3331" s="46" t="s">
        <v>43</v>
      </c>
      <c r="E3331" s="46" t="s">
        <v>109</v>
      </c>
      <c r="F3331" s="46" t="s">
        <v>7669</v>
      </c>
      <c r="G3331" s="46" t="n">
        <f aca="false">+593961010963</f>
        <v>593961010963</v>
      </c>
      <c r="H3331" s="46" t="s">
        <v>7670</v>
      </c>
      <c r="I3331" s="46"/>
      <c r="J3331" s="1"/>
      <c r="K3331" s="1" t="s">
        <v>7616</v>
      </c>
      <c r="L3331" s="1"/>
      <c r="M3331" s="1"/>
      <c r="N3331" s="1"/>
      <c r="O3331" s="1"/>
      <c r="P3331" s="6"/>
      <c r="Q3331" s="1"/>
      <c r="R3331" s="1"/>
      <c r="S3331" s="1"/>
      <c r="T3331" s="1"/>
      <c r="U3331" s="1"/>
      <c r="V3331" s="1"/>
      <c r="W3331" s="1"/>
      <c r="X3331" s="1"/>
      <c r="Y3331" s="1"/>
      <c r="Z3331" s="1"/>
    </row>
    <row r="3332" customFormat="false" ht="21.75" hidden="false" customHeight="true" outlineLevel="0" collapsed="false">
      <c r="A3332" s="4" t="n">
        <v>43508</v>
      </c>
      <c r="B3332" s="46" t="s">
        <v>1106</v>
      </c>
      <c r="C3332" s="46" t="s">
        <v>15</v>
      </c>
      <c r="D3332" s="46" t="s">
        <v>43</v>
      </c>
      <c r="E3332" s="46" t="s">
        <v>109</v>
      </c>
      <c r="F3332" s="46" t="s">
        <v>7671</v>
      </c>
      <c r="G3332" s="46" t="n">
        <f aca="false">+593996539844</f>
        <v>593996539844</v>
      </c>
      <c r="H3332" s="46" t="s">
        <v>7672</v>
      </c>
      <c r="I3332" s="46"/>
      <c r="J3332" s="1"/>
      <c r="K3332" s="1" t="s">
        <v>7616</v>
      </c>
      <c r="L3332" s="1"/>
      <c r="M3332" s="1"/>
      <c r="N3332" s="1"/>
      <c r="O3332" s="1"/>
      <c r="P3332" s="6"/>
      <c r="Q3332" s="1"/>
      <c r="R3332" s="1"/>
      <c r="S3332" s="1"/>
      <c r="T3332" s="1"/>
      <c r="U3332" s="1"/>
      <c r="V3332" s="1"/>
      <c r="W3332" s="1"/>
      <c r="X3332" s="1"/>
      <c r="Y3332" s="1"/>
      <c r="Z3332" s="1"/>
    </row>
    <row r="3333" customFormat="false" ht="21.75" hidden="false" customHeight="true" outlineLevel="0" collapsed="false">
      <c r="A3333" s="4" t="n">
        <v>43508</v>
      </c>
      <c r="B3333" s="46" t="s">
        <v>352</v>
      </c>
      <c r="C3333" s="46" t="s">
        <v>26</v>
      </c>
      <c r="D3333" s="46" t="s">
        <v>43</v>
      </c>
      <c r="E3333" s="46" t="s">
        <v>109</v>
      </c>
      <c r="F3333" s="46" t="s">
        <v>7673</v>
      </c>
      <c r="G3333" s="46" t="n">
        <f aca="false">+593985478437</f>
        <v>593985478437</v>
      </c>
      <c r="H3333" s="46" t="s">
        <v>7674</v>
      </c>
      <c r="I3333" s="46"/>
      <c r="J3333" s="1"/>
      <c r="K3333" s="1" t="s">
        <v>7616</v>
      </c>
      <c r="L3333" s="1"/>
      <c r="M3333" s="1"/>
      <c r="N3333" s="1"/>
      <c r="O3333" s="1"/>
      <c r="P3333" s="6"/>
      <c r="Q3333" s="1"/>
      <c r="R3333" s="1"/>
      <c r="S3333" s="1"/>
      <c r="T3333" s="1"/>
      <c r="U3333" s="1"/>
      <c r="V3333" s="1"/>
      <c r="W3333" s="1"/>
      <c r="X3333" s="1"/>
      <c r="Y3333" s="1"/>
      <c r="Z3333" s="1"/>
    </row>
    <row r="3334" customFormat="false" ht="21.75" hidden="false" customHeight="true" outlineLevel="0" collapsed="false">
      <c r="A3334" s="4" t="n">
        <v>43508</v>
      </c>
      <c r="B3334" s="46" t="s">
        <v>48</v>
      </c>
      <c r="C3334" s="46" t="s">
        <v>15</v>
      </c>
      <c r="D3334" s="46" t="s">
        <v>43</v>
      </c>
      <c r="E3334" s="46" t="s">
        <v>883</v>
      </c>
      <c r="F3334" s="46" t="s">
        <v>7675</v>
      </c>
      <c r="G3334" s="46" t="n">
        <f aca="false">+593980169822</f>
        <v>593980169822</v>
      </c>
      <c r="H3334" s="46" t="s">
        <v>7676</v>
      </c>
      <c r="I3334" s="46"/>
      <c r="J3334" s="1"/>
      <c r="K3334" s="1" t="s">
        <v>7616</v>
      </c>
      <c r="L3334" s="1"/>
      <c r="M3334" s="1"/>
      <c r="N3334" s="1"/>
      <c r="O3334" s="1"/>
      <c r="P3334" s="6"/>
      <c r="Q3334" s="1"/>
      <c r="R3334" s="1"/>
      <c r="S3334" s="1"/>
      <c r="T3334" s="1"/>
      <c r="U3334" s="1"/>
      <c r="V3334" s="1"/>
      <c r="W3334" s="1"/>
      <c r="X3334" s="1"/>
      <c r="Y3334" s="1"/>
      <c r="Z3334" s="1"/>
    </row>
    <row r="3335" customFormat="false" ht="21.75" hidden="false" customHeight="true" outlineLevel="0" collapsed="false">
      <c r="A3335" s="4" t="n">
        <v>43508</v>
      </c>
      <c r="B3335" s="46" t="s">
        <v>1114</v>
      </c>
      <c r="C3335" s="46" t="s">
        <v>15</v>
      </c>
      <c r="D3335" s="46" t="s">
        <v>43</v>
      </c>
      <c r="E3335" s="46" t="s">
        <v>883</v>
      </c>
      <c r="F3335" s="46" t="s">
        <v>7677</v>
      </c>
      <c r="G3335" s="46" t="n">
        <f aca="false">+593984701686</f>
        <v>593984701686</v>
      </c>
      <c r="H3335" s="46" t="s">
        <v>7678</v>
      </c>
      <c r="I3335" s="46"/>
      <c r="J3335" s="1"/>
      <c r="K3335" s="1" t="s">
        <v>7616</v>
      </c>
      <c r="L3335" s="1"/>
      <c r="M3335" s="1"/>
      <c r="N3335" s="1"/>
      <c r="O3335" s="1"/>
      <c r="P3335" s="6"/>
      <c r="Q3335" s="1"/>
      <c r="R3335" s="1"/>
      <c r="S3335" s="1"/>
      <c r="T3335" s="1"/>
      <c r="U3335" s="1"/>
      <c r="V3335" s="1"/>
      <c r="W3335" s="1"/>
      <c r="X3335" s="1"/>
      <c r="Y3335" s="1"/>
      <c r="Z3335" s="1"/>
    </row>
    <row r="3336" customFormat="false" ht="21.75" hidden="false" customHeight="true" outlineLevel="0" collapsed="false">
      <c r="A3336" s="4" t="n">
        <v>43508</v>
      </c>
      <c r="B3336" s="46" t="s">
        <v>127</v>
      </c>
      <c r="C3336" s="46" t="s">
        <v>15</v>
      </c>
      <c r="D3336" s="46" t="s">
        <v>43</v>
      </c>
      <c r="E3336" s="46" t="s">
        <v>883</v>
      </c>
      <c r="F3336" s="46" t="s">
        <v>7679</v>
      </c>
      <c r="G3336" s="46" t="n">
        <f aca="false">+593991060925</f>
        <v>593991060925</v>
      </c>
      <c r="H3336" s="46" t="s">
        <v>7680</v>
      </c>
      <c r="I3336" s="46"/>
      <c r="J3336" s="1"/>
      <c r="K3336" s="1" t="s">
        <v>7616</v>
      </c>
      <c r="L3336" s="1"/>
      <c r="M3336" s="1"/>
      <c r="N3336" s="1"/>
      <c r="O3336" s="1"/>
      <c r="P3336" s="6"/>
      <c r="Q3336" s="1"/>
      <c r="R3336" s="1"/>
      <c r="S3336" s="1"/>
      <c r="T3336" s="1"/>
      <c r="U3336" s="1"/>
      <c r="V3336" s="1"/>
      <c r="W3336" s="1"/>
      <c r="X3336" s="1"/>
      <c r="Y3336" s="1"/>
      <c r="Z3336" s="1"/>
    </row>
    <row r="3337" customFormat="false" ht="21.75" hidden="false" customHeight="true" outlineLevel="0" collapsed="false">
      <c r="A3337" s="4" t="n">
        <v>43508</v>
      </c>
      <c r="B3337" s="46" t="s">
        <v>352</v>
      </c>
      <c r="C3337" s="46" t="s">
        <v>15</v>
      </c>
      <c r="D3337" s="46" t="s">
        <v>43</v>
      </c>
      <c r="E3337" s="46" t="s">
        <v>883</v>
      </c>
      <c r="F3337" s="46" t="s">
        <v>7681</v>
      </c>
      <c r="G3337" s="57" t="n">
        <v>968022205</v>
      </c>
      <c r="H3337" s="46" t="s">
        <v>7682</v>
      </c>
      <c r="I3337" s="46"/>
      <c r="J3337" s="1"/>
      <c r="K3337" s="1" t="s">
        <v>7616</v>
      </c>
      <c r="L3337" s="1"/>
      <c r="M3337" s="1"/>
      <c r="N3337" s="1"/>
      <c r="O3337" s="1"/>
      <c r="P3337" s="6"/>
      <c r="Q3337" s="1"/>
      <c r="R3337" s="1"/>
      <c r="S3337" s="1"/>
      <c r="T3337" s="1"/>
      <c r="U3337" s="1"/>
      <c r="V3337" s="1"/>
      <c r="W3337" s="1"/>
      <c r="X3337" s="1"/>
      <c r="Y3337" s="1"/>
      <c r="Z3337" s="1"/>
    </row>
    <row r="3338" customFormat="false" ht="21.75" hidden="false" customHeight="true" outlineLevel="0" collapsed="false">
      <c r="A3338" s="4" t="n">
        <v>43508</v>
      </c>
      <c r="B3338" s="46" t="s">
        <v>127</v>
      </c>
      <c r="C3338" s="46" t="s">
        <v>15</v>
      </c>
      <c r="D3338" s="46" t="s">
        <v>43</v>
      </c>
      <c r="E3338" s="46" t="s">
        <v>883</v>
      </c>
      <c r="F3338" s="46" t="s">
        <v>7683</v>
      </c>
      <c r="G3338" s="46" t="n">
        <f aca="false">+593958814553</f>
        <v>593958814553</v>
      </c>
      <c r="H3338" s="46" t="s">
        <v>7684</v>
      </c>
      <c r="I3338" s="46"/>
      <c r="J3338" s="1"/>
      <c r="K3338" s="1" t="s">
        <v>7616</v>
      </c>
      <c r="L3338" s="1"/>
      <c r="M3338" s="1"/>
      <c r="N3338" s="1"/>
      <c r="O3338" s="1"/>
      <c r="P3338" s="6"/>
      <c r="Q3338" s="1"/>
      <c r="R3338" s="1"/>
      <c r="S3338" s="1"/>
      <c r="T3338" s="1"/>
      <c r="U3338" s="1"/>
      <c r="V3338" s="1"/>
      <c r="W3338" s="1"/>
      <c r="X3338" s="1"/>
      <c r="Y3338" s="1"/>
      <c r="Z3338" s="1"/>
    </row>
    <row r="3339" customFormat="false" ht="21.75" hidden="false" customHeight="true" outlineLevel="0" collapsed="false">
      <c r="A3339" s="4" t="n">
        <v>43508</v>
      </c>
      <c r="B3339" s="46" t="s">
        <v>127</v>
      </c>
      <c r="C3339" s="46" t="s">
        <v>15</v>
      </c>
      <c r="D3339" s="46" t="s">
        <v>43</v>
      </c>
      <c r="E3339" s="46" t="s">
        <v>883</v>
      </c>
      <c r="F3339" s="46" t="s">
        <v>7685</v>
      </c>
      <c r="G3339" s="46" t="n">
        <f aca="false">+5930967935057</f>
        <v>5930967935057</v>
      </c>
      <c r="H3339" s="46" t="s">
        <v>7686</v>
      </c>
      <c r="I3339" s="46"/>
      <c r="J3339" s="1"/>
      <c r="K3339" s="1" t="s">
        <v>7616</v>
      </c>
      <c r="L3339" s="1"/>
      <c r="M3339" s="1"/>
      <c r="N3339" s="1"/>
      <c r="O3339" s="1"/>
      <c r="P3339" s="6"/>
      <c r="Q3339" s="1"/>
      <c r="R3339" s="1"/>
      <c r="S3339" s="1"/>
      <c r="T3339" s="1"/>
      <c r="U3339" s="1"/>
      <c r="V3339" s="1"/>
      <c r="W3339" s="1"/>
      <c r="X3339" s="1"/>
      <c r="Y3339" s="1"/>
      <c r="Z3339" s="1"/>
    </row>
    <row r="3340" customFormat="false" ht="21.75" hidden="false" customHeight="true" outlineLevel="0" collapsed="false">
      <c r="A3340" s="4" t="n">
        <v>43508</v>
      </c>
      <c r="B3340" s="46" t="s">
        <v>1114</v>
      </c>
      <c r="C3340" s="46" t="s">
        <v>15</v>
      </c>
      <c r="D3340" s="46" t="s">
        <v>43</v>
      </c>
      <c r="E3340" s="46" t="s">
        <v>883</v>
      </c>
      <c r="F3340" s="46" t="s">
        <v>7687</v>
      </c>
      <c r="G3340" s="46" t="n">
        <f aca="false">+5930995314132</f>
        <v>5930995314132</v>
      </c>
      <c r="H3340" s="46" t="s">
        <v>7688</v>
      </c>
      <c r="I3340" s="46"/>
      <c r="J3340" s="1"/>
      <c r="K3340" s="1" t="s">
        <v>7616</v>
      </c>
      <c r="L3340" s="1"/>
      <c r="M3340" s="1"/>
      <c r="N3340" s="1"/>
      <c r="O3340" s="1"/>
      <c r="P3340" s="6"/>
      <c r="Q3340" s="1"/>
      <c r="R3340" s="1"/>
      <c r="S3340" s="1"/>
      <c r="T3340" s="1"/>
      <c r="U3340" s="1"/>
      <c r="V3340" s="1"/>
      <c r="W3340" s="1"/>
      <c r="X3340" s="1"/>
      <c r="Y3340" s="1"/>
      <c r="Z3340" s="1"/>
    </row>
    <row r="3341" customFormat="false" ht="21.75" hidden="false" customHeight="true" outlineLevel="0" collapsed="false">
      <c r="A3341" s="4" t="n">
        <v>43508</v>
      </c>
      <c r="B3341" s="46" t="s">
        <v>352</v>
      </c>
      <c r="C3341" s="46" t="s">
        <v>26</v>
      </c>
      <c r="D3341" s="46" t="s">
        <v>43</v>
      </c>
      <c r="E3341" s="46" t="s">
        <v>883</v>
      </c>
      <c r="F3341" s="46" t="s">
        <v>7596</v>
      </c>
      <c r="G3341" s="46" t="n">
        <f aca="false">+593969672491</f>
        <v>593969672491</v>
      </c>
      <c r="H3341" s="46" t="s">
        <v>7689</v>
      </c>
      <c r="I3341" s="46"/>
      <c r="J3341" s="1"/>
      <c r="K3341" s="1" t="s">
        <v>7616</v>
      </c>
      <c r="L3341" s="1"/>
      <c r="M3341" s="1"/>
      <c r="N3341" s="1"/>
      <c r="O3341" s="1"/>
      <c r="P3341" s="6"/>
      <c r="Q3341" s="1"/>
      <c r="R3341" s="1"/>
      <c r="S3341" s="1"/>
      <c r="T3341" s="1"/>
      <c r="U3341" s="1"/>
      <c r="V3341" s="1"/>
      <c r="W3341" s="1"/>
      <c r="X3341" s="1"/>
      <c r="Y3341" s="1"/>
      <c r="Z3341" s="1"/>
    </row>
    <row r="3342" customFormat="false" ht="21.75" hidden="false" customHeight="true" outlineLevel="0" collapsed="false">
      <c r="A3342" s="4" t="n">
        <v>43508</v>
      </c>
      <c r="B3342" s="46" t="s">
        <v>352</v>
      </c>
      <c r="C3342" s="46" t="s">
        <v>15</v>
      </c>
      <c r="D3342" s="46" t="s">
        <v>43</v>
      </c>
      <c r="E3342" s="46" t="s">
        <v>883</v>
      </c>
      <c r="F3342" s="46" t="s">
        <v>1605</v>
      </c>
      <c r="G3342" s="46" t="n">
        <f aca="false">+593958874744</f>
        <v>593958874744</v>
      </c>
      <c r="H3342" s="46" t="s">
        <v>7690</v>
      </c>
      <c r="I3342" s="46"/>
      <c r="J3342" s="1"/>
      <c r="K3342" s="1" t="s">
        <v>7616</v>
      </c>
      <c r="L3342" s="1"/>
      <c r="M3342" s="1"/>
      <c r="N3342" s="1"/>
      <c r="O3342" s="1"/>
      <c r="P3342" s="6"/>
      <c r="Q3342" s="1"/>
      <c r="R3342" s="1"/>
      <c r="S3342" s="1"/>
      <c r="T3342" s="1"/>
      <c r="U3342" s="1"/>
      <c r="V3342" s="1"/>
      <c r="W3342" s="1"/>
      <c r="X3342" s="1"/>
      <c r="Y3342" s="1"/>
      <c r="Z3342" s="1"/>
    </row>
    <row r="3343" customFormat="false" ht="21.75" hidden="false" customHeight="true" outlineLevel="0" collapsed="false">
      <c r="A3343" s="4" t="n">
        <v>43508</v>
      </c>
      <c r="B3343" s="46" t="s">
        <v>352</v>
      </c>
      <c r="C3343" s="46" t="s">
        <v>15</v>
      </c>
      <c r="D3343" s="46" t="s">
        <v>43</v>
      </c>
      <c r="E3343" s="46" t="s">
        <v>883</v>
      </c>
      <c r="F3343" s="46" t="s">
        <v>7691</v>
      </c>
      <c r="G3343" s="46" t="n">
        <f aca="false">+593959609540</f>
        <v>593959609540</v>
      </c>
      <c r="H3343" s="46" t="s">
        <v>7692</v>
      </c>
      <c r="I3343" s="46"/>
      <c r="J3343" s="1"/>
      <c r="K3343" s="1" t="s">
        <v>7616</v>
      </c>
      <c r="L3343" s="1"/>
      <c r="M3343" s="1"/>
      <c r="N3343" s="1"/>
      <c r="O3343" s="1"/>
      <c r="P3343" s="6"/>
      <c r="Q3343" s="1"/>
      <c r="R3343" s="1"/>
      <c r="S3343" s="1"/>
      <c r="T3343" s="1"/>
      <c r="U3343" s="1"/>
      <c r="V3343" s="1"/>
      <c r="W3343" s="1"/>
      <c r="X3343" s="1"/>
      <c r="Y3343" s="1"/>
      <c r="Z3343" s="1"/>
    </row>
    <row r="3344" customFormat="false" ht="21.75" hidden="false" customHeight="true" outlineLevel="0" collapsed="false">
      <c r="A3344" s="4" t="n">
        <v>43508</v>
      </c>
      <c r="B3344" s="46" t="s">
        <v>1114</v>
      </c>
      <c r="C3344" s="46" t="s">
        <v>15</v>
      </c>
      <c r="D3344" s="46" t="s">
        <v>43</v>
      </c>
      <c r="E3344" s="46" t="s">
        <v>883</v>
      </c>
      <c r="F3344" s="46" t="s">
        <v>7693</v>
      </c>
      <c r="G3344" s="46" t="n">
        <f aca="false">+593980335361</f>
        <v>593980335361</v>
      </c>
      <c r="H3344" s="46" t="s">
        <v>7694</v>
      </c>
      <c r="I3344" s="46"/>
      <c r="J3344" s="1"/>
      <c r="K3344" s="1" t="s">
        <v>7616</v>
      </c>
      <c r="L3344" s="1"/>
      <c r="M3344" s="1"/>
      <c r="N3344" s="1"/>
      <c r="O3344" s="1"/>
      <c r="P3344" s="6"/>
      <c r="Q3344" s="1"/>
      <c r="R3344" s="1"/>
      <c r="S3344" s="1"/>
      <c r="T3344" s="1"/>
      <c r="U3344" s="1"/>
      <c r="V3344" s="1"/>
      <c r="W3344" s="1"/>
      <c r="X3344" s="1"/>
      <c r="Y3344" s="1"/>
      <c r="Z3344" s="1"/>
    </row>
    <row r="3345" customFormat="false" ht="21.75" hidden="false" customHeight="true" outlineLevel="0" collapsed="false">
      <c r="A3345" s="4" t="n">
        <v>43508</v>
      </c>
      <c r="B3345" s="46" t="s">
        <v>48</v>
      </c>
      <c r="C3345" s="46" t="s">
        <v>15</v>
      </c>
      <c r="D3345" s="46" t="s">
        <v>43</v>
      </c>
      <c r="E3345" s="46" t="s">
        <v>883</v>
      </c>
      <c r="F3345" s="46" t="s">
        <v>7695</v>
      </c>
      <c r="G3345" s="46" t="n">
        <f aca="false">+593980216085</f>
        <v>593980216085</v>
      </c>
      <c r="H3345" s="46" t="s">
        <v>7696</v>
      </c>
      <c r="I3345" s="46"/>
      <c r="J3345" s="1"/>
      <c r="K3345" s="1" t="s">
        <v>7616</v>
      </c>
      <c r="L3345" s="1"/>
      <c r="M3345" s="1"/>
      <c r="N3345" s="1"/>
      <c r="O3345" s="1"/>
      <c r="P3345" s="6"/>
      <c r="Q3345" s="1"/>
      <c r="R3345" s="1"/>
      <c r="S3345" s="1"/>
      <c r="T3345" s="1"/>
      <c r="U3345" s="1"/>
      <c r="V3345" s="1"/>
      <c r="W3345" s="1"/>
      <c r="X3345" s="1"/>
      <c r="Y3345" s="1"/>
      <c r="Z3345" s="1"/>
    </row>
    <row r="3346" customFormat="false" ht="21.75" hidden="false" customHeight="true" outlineLevel="0" collapsed="false">
      <c r="A3346" s="4" t="n">
        <v>43508</v>
      </c>
      <c r="B3346" s="46" t="s">
        <v>48</v>
      </c>
      <c r="C3346" s="46" t="s">
        <v>15</v>
      </c>
      <c r="D3346" s="46" t="s">
        <v>43</v>
      </c>
      <c r="E3346" s="46" t="s">
        <v>883</v>
      </c>
      <c r="F3346" s="46" t="s">
        <v>7697</v>
      </c>
      <c r="G3346" s="46" t="n">
        <f aca="false">+5930994631014</f>
        <v>5930994631014</v>
      </c>
      <c r="H3346" s="46" t="s">
        <v>7698</v>
      </c>
      <c r="I3346" s="46"/>
      <c r="J3346" s="1"/>
      <c r="K3346" s="1" t="s">
        <v>7616</v>
      </c>
      <c r="L3346" s="1"/>
      <c r="M3346" s="1"/>
      <c r="N3346" s="1"/>
      <c r="O3346" s="1"/>
      <c r="P3346" s="6"/>
      <c r="Q3346" s="1"/>
      <c r="R3346" s="1"/>
      <c r="S3346" s="1"/>
      <c r="T3346" s="1"/>
      <c r="U3346" s="1"/>
      <c r="V3346" s="1"/>
      <c r="W3346" s="1"/>
      <c r="X3346" s="1"/>
      <c r="Y3346" s="1"/>
      <c r="Z3346" s="1"/>
    </row>
    <row r="3347" customFormat="false" ht="21.75" hidden="false" customHeight="true" outlineLevel="0" collapsed="false">
      <c r="A3347" s="4" t="n">
        <v>43508</v>
      </c>
      <c r="B3347" s="46" t="s">
        <v>1114</v>
      </c>
      <c r="C3347" s="46" t="s">
        <v>15</v>
      </c>
      <c r="D3347" s="46" t="s">
        <v>43</v>
      </c>
      <c r="E3347" s="46" t="s">
        <v>883</v>
      </c>
      <c r="F3347" s="46" t="s">
        <v>7699</v>
      </c>
      <c r="G3347" s="46" t="n">
        <f aca="false">+593996373144</f>
        <v>593996373144</v>
      </c>
      <c r="H3347" s="46" t="s">
        <v>7700</v>
      </c>
      <c r="I3347" s="46"/>
      <c r="J3347" s="1"/>
      <c r="K3347" s="1" t="s">
        <v>7616</v>
      </c>
      <c r="L3347" s="1"/>
      <c r="M3347" s="1"/>
      <c r="N3347" s="1"/>
      <c r="O3347" s="1"/>
      <c r="P3347" s="6"/>
      <c r="Q3347" s="1"/>
      <c r="R3347" s="1"/>
      <c r="S3347" s="1"/>
      <c r="T3347" s="1"/>
      <c r="U3347" s="1"/>
      <c r="V3347" s="1"/>
      <c r="W3347" s="1"/>
      <c r="X3347" s="1"/>
      <c r="Y3347" s="1"/>
      <c r="Z3347" s="1"/>
    </row>
    <row r="3348" customFormat="false" ht="21.75" hidden="false" customHeight="true" outlineLevel="0" collapsed="false">
      <c r="A3348" s="4" t="n">
        <v>43508</v>
      </c>
      <c r="B3348" s="53" t="s">
        <v>48</v>
      </c>
      <c r="C3348" s="46" t="s">
        <v>15</v>
      </c>
      <c r="D3348" s="46" t="s">
        <v>43</v>
      </c>
      <c r="E3348" s="46" t="s">
        <v>44</v>
      </c>
      <c r="F3348" s="46" t="s">
        <v>7701</v>
      </c>
      <c r="G3348" s="46" t="n">
        <f aca="false">+593032960657</f>
        <v>593032960657</v>
      </c>
      <c r="H3348" s="46" t="s">
        <v>7702</v>
      </c>
      <c r="I3348" s="46"/>
      <c r="J3348" s="1"/>
      <c r="K3348" s="1" t="s">
        <v>7616</v>
      </c>
      <c r="L3348" s="1"/>
      <c r="M3348" s="1"/>
      <c r="N3348" s="1"/>
      <c r="O3348" s="1"/>
      <c r="P3348" s="6"/>
      <c r="Q3348" s="1"/>
      <c r="R3348" s="1"/>
      <c r="S3348" s="1"/>
      <c r="T3348" s="1"/>
      <c r="U3348" s="1"/>
      <c r="V3348" s="1"/>
      <c r="W3348" s="1"/>
      <c r="X3348" s="1"/>
      <c r="Y3348" s="1"/>
      <c r="Z3348" s="1"/>
    </row>
    <row r="3349" customFormat="false" ht="21.75" hidden="false" customHeight="true" outlineLevel="0" collapsed="false">
      <c r="A3349" s="4" t="n">
        <v>43508</v>
      </c>
      <c r="B3349" s="53" t="s">
        <v>48</v>
      </c>
      <c r="C3349" s="46" t="s">
        <v>26</v>
      </c>
      <c r="D3349" s="46" t="s">
        <v>43</v>
      </c>
      <c r="E3349" s="46" t="s">
        <v>44</v>
      </c>
      <c r="F3349" s="46" t="s">
        <v>7703</v>
      </c>
      <c r="G3349" s="46" t="n">
        <f aca="false">+593987439641</f>
        <v>593987439641</v>
      </c>
      <c r="H3349" s="46" t="s">
        <v>7704</v>
      </c>
      <c r="I3349" s="46"/>
      <c r="J3349" s="1"/>
      <c r="K3349" s="1" t="s">
        <v>7616</v>
      </c>
      <c r="L3349" s="1"/>
      <c r="M3349" s="1"/>
      <c r="N3349" s="1"/>
      <c r="O3349" s="1"/>
      <c r="P3349" s="6"/>
      <c r="Q3349" s="1"/>
      <c r="R3349" s="1"/>
      <c r="S3349" s="1"/>
      <c r="T3349" s="1"/>
      <c r="U3349" s="1"/>
      <c r="V3349" s="1"/>
      <c r="W3349" s="1"/>
      <c r="X3349" s="1"/>
      <c r="Y3349" s="1"/>
      <c r="Z3349" s="1"/>
    </row>
    <row r="3350" customFormat="false" ht="21.75" hidden="false" customHeight="true" outlineLevel="0" collapsed="false">
      <c r="A3350" s="4" t="n">
        <v>43508</v>
      </c>
      <c r="B3350" s="53" t="s">
        <v>48</v>
      </c>
      <c r="C3350" s="46" t="s">
        <v>15</v>
      </c>
      <c r="D3350" s="46" t="s">
        <v>43</v>
      </c>
      <c r="E3350" s="46" t="s">
        <v>44</v>
      </c>
      <c r="F3350" s="46" t="s">
        <v>7705</v>
      </c>
      <c r="G3350" s="46" t="n">
        <f aca="false">+593982223056</f>
        <v>593982223056</v>
      </c>
      <c r="H3350" s="46" t="s">
        <v>7706</v>
      </c>
      <c r="I3350" s="46"/>
      <c r="J3350" s="1"/>
      <c r="K3350" s="1" t="s">
        <v>7616</v>
      </c>
      <c r="L3350" s="1"/>
      <c r="M3350" s="1"/>
      <c r="N3350" s="1"/>
      <c r="O3350" s="1"/>
      <c r="P3350" s="6"/>
      <c r="Q3350" s="1"/>
      <c r="R3350" s="1"/>
      <c r="S3350" s="1"/>
      <c r="T3350" s="1"/>
      <c r="U3350" s="1"/>
      <c r="V3350" s="1"/>
      <c r="W3350" s="1"/>
      <c r="X3350" s="1"/>
      <c r="Y3350" s="1"/>
      <c r="Z3350" s="1"/>
    </row>
    <row r="3351" customFormat="false" ht="21.75" hidden="false" customHeight="true" outlineLevel="0" collapsed="false">
      <c r="A3351" s="4" t="n">
        <v>43508</v>
      </c>
      <c r="B3351" s="53" t="s">
        <v>48</v>
      </c>
      <c r="C3351" s="46" t="s">
        <v>15</v>
      </c>
      <c r="D3351" s="46" t="s">
        <v>43</v>
      </c>
      <c r="E3351" s="46" t="s">
        <v>44</v>
      </c>
      <c r="F3351" s="46" t="s">
        <v>7707</v>
      </c>
      <c r="G3351" s="46" t="n">
        <f aca="false">+5930981088900</f>
        <v>5930981088900</v>
      </c>
      <c r="H3351" s="46" t="s">
        <v>7708</v>
      </c>
      <c r="I3351" s="46"/>
      <c r="J3351" s="1"/>
      <c r="K3351" s="1" t="s">
        <v>7616</v>
      </c>
      <c r="L3351" s="1"/>
      <c r="M3351" s="1"/>
      <c r="N3351" s="1"/>
      <c r="O3351" s="1"/>
      <c r="P3351" s="6"/>
      <c r="Q3351" s="1"/>
      <c r="R3351" s="1"/>
      <c r="S3351" s="1"/>
      <c r="T3351" s="1"/>
      <c r="U3351" s="1"/>
      <c r="V3351" s="1"/>
      <c r="W3351" s="1"/>
      <c r="X3351" s="1"/>
      <c r="Y3351" s="1"/>
      <c r="Z3351" s="1"/>
    </row>
    <row r="3352" customFormat="false" ht="21.75" hidden="false" customHeight="true" outlineLevel="0" collapsed="false">
      <c r="A3352" s="4" t="n">
        <v>43508</v>
      </c>
      <c r="B3352" s="53" t="s">
        <v>48</v>
      </c>
      <c r="C3352" s="46" t="s">
        <v>15</v>
      </c>
      <c r="D3352" s="46" t="s">
        <v>43</v>
      </c>
      <c r="E3352" s="46" t="s">
        <v>44</v>
      </c>
      <c r="F3352" s="46" t="s">
        <v>7709</v>
      </c>
      <c r="G3352" s="46" t="n">
        <f aca="false">+593989431913</f>
        <v>593989431913</v>
      </c>
      <c r="H3352" s="46" t="s">
        <v>7710</v>
      </c>
      <c r="I3352" s="46"/>
      <c r="J3352" s="1"/>
      <c r="K3352" s="1" t="s">
        <v>7616</v>
      </c>
      <c r="L3352" s="1"/>
      <c r="M3352" s="1"/>
      <c r="N3352" s="1"/>
      <c r="O3352" s="1"/>
      <c r="P3352" s="6"/>
      <c r="Q3352" s="1"/>
      <c r="R3352" s="1"/>
      <c r="S3352" s="1"/>
      <c r="T3352" s="1"/>
      <c r="U3352" s="1"/>
      <c r="V3352" s="1"/>
      <c r="W3352" s="1"/>
      <c r="X3352" s="1"/>
      <c r="Y3352" s="1"/>
      <c r="Z3352" s="1"/>
    </row>
    <row r="3353" customFormat="false" ht="21.75" hidden="false" customHeight="true" outlineLevel="0" collapsed="false">
      <c r="A3353" s="4" t="n">
        <v>43508</v>
      </c>
      <c r="B3353" s="53" t="s">
        <v>48</v>
      </c>
      <c r="C3353" s="46" t="s">
        <v>15</v>
      </c>
      <c r="D3353" s="46" t="s">
        <v>43</v>
      </c>
      <c r="E3353" s="46" t="s">
        <v>44</v>
      </c>
      <c r="F3353" s="46" t="s">
        <v>7711</v>
      </c>
      <c r="G3353" s="46" t="n">
        <f aca="false">+593979527346</f>
        <v>593979527346</v>
      </c>
      <c r="H3353" s="46" t="s">
        <v>7712</v>
      </c>
      <c r="I3353" s="46"/>
      <c r="J3353" s="1"/>
      <c r="K3353" s="1" t="s">
        <v>7616</v>
      </c>
      <c r="L3353" s="1"/>
      <c r="M3353" s="1"/>
      <c r="N3353" s="1"/>
      <c r="O3353" s="1"/>
      <c r="P3353" s="6"/>
      <c r="Q3353" s="1"/>
      <c r="R3353" s="1"/>
      <c r="S3353" s="1"/>
      <c r="T3353" s="1"/>
      <c r="U3353" s="1"/>
      <c r="V3353" s="1"/>
      <c r="W3353" s="1"/>
      <c r="X3353" s="1"/>
      <c r="Y3353" s="1"/>
      <c r="Z3353" s="1"/>
    </row>
    <row r="3354" customFormat="false" ht="21.75" hidden="false" customHeight="true" outlineLevel="0" collapsed="false">
      <c r="A3354" s="4" t="n">
        <v>43508</v>
      </c>
      <c r="B3354" s="53" t="s">
        <v>48</v>
      </c>
      <c r="C3354" s="46" t="s">
        <v>15</v>
      </c>
      <c r="D3354" s="46" t="s">
        <v>43</v>
      </c>
      <c r="E3354" s="46" t="s">
        <v>44</v>
      </c>
      <c r="F3354" s="46" t="s">
        <v>7713</v>
      </c>
      <c r="G3354" s="46" t="n">
        <f aca="false">+593969445405</f>
        <v>593969445405</v>
      </c>
      <c r="H3354" s="46" t="s">
        <v>7714</v>
      </c>
      <c r="I3354" s="46"/>
      <c r="J3354" s="1"/>
      <c r="K3354" s="1" t="s">
        <v>7616</v>
      </c>
      <c r="L3354" s="1"/>
      <c r="M3354" s="1"/>
      <c r="N3354" s="1"/>
      <c r="O3354" s="1"/>
      <c r="P3354" s="6"/>
      <c r="Q3354" s="1"/>
      <c r="R3354" s="1"/>
      <c r="S3354" s="1"/>
      <c r="T3354" s="1"/>
      <c r="U3354" s="1"/>
      <c r="V3354" s="1"/>
      <c r="W3354" s="1"/>
      <c r="X3354" s="1"/>
      <c r="Y3354" s="1"/>
      <c r="Z3354" s="1"/>
    </row>
    <row r="3355" customFormat="false" ht="21.75" hidden="false" customHeight="true" outlineLevel="0" collapsed="false">
      <c r="A3355" s="4" t="n">
        <v>43508</v>
      </c>
      <c r="B3355" s="53" t="s">
        <v>48</v>
      </c>
      <c r="C3355" s="46" t="s">
        <v>15</v>
      </c>
      <c r="D3355" s="46" t="s">
        <v>43</v>
      </c>
      <c r="E3355" s="46" t="s">
        <v>44</v>
      </c>
      <c r="F3355" s="46" t="s">
        <v>7715</v>
      </c>
      <c r="G3355" s="46" t="n">
        <f aca="false">+593991579278</f>
        <v>593991579278</v>
      </c>
      <c r="H3355" s="46" t="s">
        <v>7716</v>
      </c>
      <c r="I3355" s="46"/>
      <c r="J3355" s="1"/>
      <c r="K3355" s="1" t="s">
        <v>7616</v>
      </c>
      <c r="L3355" s="1"/>
      <c r="M3355" s="1"/>
      <c r="N3355" s="1"/>
      <c r="O3355" s="1"/>
      <c r="P3355" s="6"/>
      <c r="Q3355" s="1"/>
      <c r="R3355" s="1"/>
      <c r="S3355" s="1"/>
      <c r="T3355" s="1"/>
      <c r="U3355" s="1"/>
      <c r="V3355" s="1"/>
      <c r="W3355" s="1"/>
      <c r="X3355" s="1"/>
      <c r="Y3355" s="1"/>
      <c r="Z3355" s="1"/>
    </row>
    <row r="3356" customFormat="false" ht="21.75" hidden="false" customHeight="true" outlineLevel="0" collapsed="false">
      <c r="A3356" s="4" t="n">
        <v>43508</v>
      </c>
      <c r="B3356" s="53" t="s">
        <v>127</v>
      </c>
      <c r="C3356" s="46" t="s">
        <v>15</v>
      </c>
      <c r="D3356" s="46" t="s">
        <v>43</v>
      </c>
      <c r="E3356" s="46" t="s">
        <v>44</v>
      </c>
      <c r="F3356" s="46" t="s">
        <v>7717</v>
      </c>
      <c r="G3356" s="46" t="n">
        <f aca="false">+5930998252025</f>
        <v>5930998252025</v>
      </c>
      <c r="H3356" s="46" t="s">
        <v>7718</v>
      </c>
      <c r="I3356" s="46"/>
      <c r="J3356" s="1"/>
      <c r="K3356" s="1" t="s">
        <v>7616</v>
      </c>
      <c r="L3356" s="1"/>
      <c r="M3356" s="1"/>
      <c r="N3356" s="1"/>
      <c r="O3356" s="1"/>
      <c r="P3356" s="6"/>
      <c r="Q3356" s="1"/>
      <c r="R3356" s="1"/>
      <c r="S3356" s="1"/>
      <c r="T3356" s="1"/>
      <c r="U3356" s="1"/>
      <c r="V3356" s="1"/>
      <c r="W3356" s="1"/>
      <c r="X3356" s="1"/>
      <c r="Y3356" s="1"/>
      <c r="Z3356" s="1"/>
    </row>
    <row r="3357" customFormat="false" ht="21.75" hidden="false" customHeight="true" outlineLevel="0" collapsed="false">
      <c r="A3357" s="4" t="n">
        <v>43508</v>
      </c>
      <c r="B3357" s="53" t="s">
        <v>127</v>
      </c>
      <c r="C3357" s="46" t="s">
        <v>15</v>
      </c>
      <c r="D3357" s="46" t="s">
        <v>43</v>
      </c>
      <c r="E3357" s="46" t="s">
        <v>44</v>
      </c>
      <c r="F3357" s="46" t="s">
        <v>7719</v>
      </c>
      <c r="G3357" s="46" t="n">
        <f aca="false">+593983335807</f>
        <v>593983335807</v>
      </c>
      <c r="H3357" s="46" t="s">
        <v>7720</v>
      </c>
      <c r="I3357" s="46"/>
      <c r="J3357" s="1"/>
      <c r="K3357" s="1" t="s">
        <v>7616</v>
      </c>
      <c r="L3357" s="1"/>
      <c r="M3357" s="1"/>
      <c r="N3357" s="1"/>
      <c r="O3357" s="1"/>
      <c r="P3357" s="6"/>
      <c r="Q3357" s="1"/>
      <c r="R3357" s="1"/>
      <c r="S3357" s="1"/>
      <c r="T3357" s="1"/>
      <c r="U3357" s="1"/>
      <c r="V3357" s="1"/>
      <c r="W3357" s="1"/>
      <c r="X3357" s="1"/>
      <c r="Y3357" s="1"/>
      <c r="Z3357" s="1"/>
    </row>
    <row r="3358" customFormat="false" ht="21.75" hidden="false" customHeight="true" outlineLevel="0" collapsed="false">
      <c r="A3358" s="4" t="n">
        <v>43508</v>
      </c>
      <c r="B3358" s="53" t="s">
        <v>127</v>
      </c>
      <c r="C3358" s="46" t="s">
        <v>15</v>
      </c>
      <c r="D3358" s="46" t="s">
        <v>43</v>
      </c>
      <c r="E3358" s="46" t="s">
        <v>44</v>
      </c>
      <c r="F3358" s="46" t="s">
        <v>7721</v>
      </c>
      <c r="G3358" s="46" t="n">
        <f aca="false">+593984154907</f>
        <v>593984154907</v>
      </c>
      <c r="H3358" s="46" t="s">
        <v>7722</v>
      </c>
      <c r="I3358" s="46"/>
      <c r="J3358" s="1"/>
      <c r="K3358" s="1" t="s">
        <v>7616</v>
      </c>
      <c r="L3358" s="1"/>
      <c r="M3358" s="1"/>
      <c r="N3358" s="1"/>
      <c r="O3358" s="1"/>
      <c r="P3358" s="6"/>
      <c r="Q3358" s="1"/>
      <c r="R3358" s="1"/>
      <c r="S3358" s="1"/>
      <c r="T3358" s="1"/>
      <c r="U3358" s="1"/>
      <c r="V3358" s="1"/>
      <c r="W3358" s="1"/>
      <c r="X3358" s="1"/>
      <c r="Y3358" s="1"/>
      <c r="Z3358" s="1"/>
    </row>
    <row r="3359" customFormat="false" ht="21.75" hidden="false" customHeight="true" outlineLevel="0" collapsed="false">
      <c r="A3359" s="4" t="n">
        <v>43508</v>
      </c>
      <c r="B3359" s="53" t="s">
        <v>127</v>
      </c>
      <c r="C3359" s="46" t="s">
        <v>15</v>
      </c>
      <c r="D3359" s="46" t="s">
        <v>43</v>
      </c>
      <c r="E3359" s="46" t="s">
        <v>44</v>
      </c>
      <c r="F3359" s="46" t="s">
        <v>7723</v>
      </c>
      <c r="G3359" s="46" t="n">
        <f aca="false">+593988394238</f>
        <v>593988394238</v>
      </c>
      <c r="H3359" s="46" t="s">
        <v>7724</v>
      </c>
      <c r="I3359" s="46"/>
      <c r="J3359" s="1"/>
      <c r="K3359" s="1" t="s">
        <v>7616</v>
      </c>
      <c r="L3359" s="1"/>
      <c r="M3359" s="1"/>
      <c r="N3359" s="1"/>
      <c r="O3359" s="1"/>
      <c r="P3359" s="6"/>
      <c r="Q3359" s="1"/>
      <c r="R3359" s="1"/>
      <c r="S3359" s="1"/>
      <c r="T3359" s="1"/>
      <c r="U3359" s="1"/>
      <c r="V3359" s="1"/>
      <c r="W3359" s="1"/>
      <c r="X3359" s="1"/>
      <c r="Y3359" s="1"/>
      <c r="Z3359" s="1"/>
    </row>
    <row r="3360" customFormat="false" ht="21.75" hidden="false" customHeight="true" outlineLevel="0" collapsed="false">
      <c r="A3360" s="4" t="n">
        <v>43508</v>
      </c>
      <c r="B3360" s="53" t="s">
        <v>42</v>
      </c>
      <c r="C3360" s="46" t="s">
        <v>15</v>
      </c>
      <c r="D3360" s="46" t="s">
        <v>43</v>
      </c>
      <c r="E3360" s="46" t="s">
        <v>44</v>
      </c>
      <c r="F3360" s="46" t="s">
        <v>7725</v>
      </c>
      <c r="G3360" s="46" t="n">
        <f aca="false">+593995057698</f>
        <v>593995057698</v>
      </c>
      <c r="H3360" s="46" t="s">
        <v>7726</v>
      </c>
      <c r="I3360" s="46"/>
      <c r="J3360" s="1"/>
      <c r="K3360" s="1" t="s">
        <v>7616</v>
      </c>
      <c r="L3360" s="1"/>
      <c r="M3360" s="1"/>
      <c r="N3360" s="1"/>
      <c r="O3360" s="1"/>
      <c r="P3360" s="6"/>
      <c r="Q3360" s="1"/>
      <c r="R3360" s="1"/>
      <c r="S3360" s="1"/>
      <c r="T3360" s="1"/>
      <c r="U3360" s="1"/>
      <c r="V3360" s="1"/>
      <c r="W3360" s="1"/>
      <c r="X3360" s="1"/>
      <c r="Y3360" s="1"/>
      <c r="Z3360" s="1"/>
    </row>
    <row r="3361" customFormat="false" ht="21.75" hidden="false" customHeight="true" outlineLevel="0" collapsed="false">
      <c r="A3361" s="4" t="n">
        <v>43508</v>
      </c>
      <c r="B3361" s="53" t="s">
        <v>42</v>
      </c>
      <c r="C3361" s="46" t="s">
        <v>15</v>
      </c>
      <c r="D3361" s="46" t="s">
        <v>43</v>
      </c>
      <c r="E3361" s="46" t="s">
        <v>44</v>
      </c>
      <c r="F3361" s="46" t="s">
        <v>7727</v>
      </c>
      <c r="G3361" s="46" t="n">
        <f aca="false">+593993690285</f>
        <v>593993690285</v>
      </c>
      <c r="H3361" s="46" t="s">
        <v>7728</v>
      </c>
      <c r="I3361" s="46"/>
      <c r="J3361" s="1"/>
      <c r="K3361" s="1" t="s">
        <v>7616</v>
      </c>
      <c r="L3361" s="1"/>
      <c r="M3361" s="1"/>
      <c r="N3361" s="1"/>
      <c r="O3361" s="1"/>
      <c r="P3361" s="6"/>
      <c r="Q3361" s="1"/>
      <c r="R3361" s="1"/>
      <c r="S3361" s="1"/>
      <c r="T3361" s="1"/>
      <c r="U3361" s="1"/>
      <c r="V3361" s="1"/>
      <c r="W3361" s="1"/>
      <c r="X3361" s="1"/>
      <c r="Y3361" s="1"/>
      <c r="Z3361" s="1"/>
    </row>
    <row r="3362" customFormat="false" ht="21.75" hidden="false" customHeight="true" outlineLevel="0" collapsed="false">
      <c r="A3362" s="4" t="n">
        <v>43508</v>
      </c>
      <c r="B3362" s="53" t="s">
        <v>415</v>
      </c>
      <c r="C3362" s="46" t="s">
        <v>26</v>
      </c>
      <c r="D3362" s="46" t="s">
        <v>43</v>
      </c>
      <c r="E3362" s="46" t="s">
        <v>44</v>
      </c>
      <c r="F3362" s="46" t="s">
        <v>5593</v>
      </c>
      <c r="G3362" s="46" t="n">
        <f aca="false">+5930983090815</f>
        <v>5930983090815</v>
      </c>
      <c r="H3362" s="46" t="s">
        <v>5594</v>
      </c>
      <c r="I3362" s="46"/>
      <c r="J3362" s="1"/>
      <c r="K3362" s="1" t="s">
        <v>7616</v>
      </c>
      <c r="L3362" s="1"/>
      <c r="M3362" s="1"/>
      <c r="N3362" s="1"/>
      <c r="O3362" s="1"/>
      <c r="P3362" s="6"/>
      <c r="Q3362" s="1"/>
      <c r="R3362" s="1"/>
      <c r="S3362" s="1"/>
      <c r="T3362" s="1"/>
      <c r="U3362" s="1"/>
      <c r="V3362" s="1"/>
      <c r="W3362" s="1"/>
      <c r="X3362" s="1"/>
      <c r="Y3362" s="1"/>
      <c r="Z3362" s="1"/>
    </row>
    <row r="3363" customFormat="false" ht="21.75" hidden="false" customHeight="true" outlineLevel="0" collapsed="false">
      <c r="A3363" s="4" t="n">
        <v>43508</v>
      </c>
      <c r="B3363" s="53" t="s">
        <v>415</v>
      </c>
      <c r="C3363" s="46" t="s">
        <v>15</v>
      </c>
      <c r="D3363" s="46" t="s">
        <v>43</v>
      </c>
      <c r="E3363" s="46" t="s">
        <v>44</v>
      </c>
      <c r="F3363" s="46" t="s">
        <v>7729</v>
      </c>
      <c r="G3363" s="46" t="n">
        <f aca="false">+593987557549</f>
        <v>593987557549</v>
      </c>
      <c r="H3363" s="46" t="s">
        <v>7730</v>
      </c>
      <c r="I3363" s="46"/>
      <c r="J3363" s="1"/>
      <c r="K3363" s="1" t="s">
        <v>7616</v>
      </c>
      <c r="L3363" s="1"/>
      <c r="M3363" s="1"/>
      <c r="N3363" s="1"/>
      <c r="O3363" s="1"/>
      <c r="P3363" s="6"/>
      <c r="Q3363" s="1"/>
      <c r="R3363" s="1"/>
      <c r="S3363" s="1"/>
      <c r="T3363" s="1"/>
      <c r="U3363" s="1"/>
      <c r="V3363" s="1"/>
      <c r="W3363" s="1"/>
      <c r="X3363" s="1"/>
      <c r="Y3363" s="1"/>
      <c r="Z3363" s="1"/>
    </row>
    <row r="3364" customFormat="false" ht="21.75" hidden="false" customHeight="true" outlineLevel="0" collapsed="false">
      <c r="A3364" s="4" t="n">
        <v>43508</v>
      </c>
      <c r="B3364" s="53" t="s">
        <v>178</v>
      </c>
      <c r="C3364" s="46" t="s">
        <v>15</v>
      </c>
      <c r="D3364" s="46" t="s">
        <v>43</v>
      </c>
      <c r="E3364" s="46" t="s">
        <v>44</v>
      </c>
      <c r="F3364" s="46" t="s">
        <v>7731</v>
      </c>
      <c r="G3364" s="46" t="n">
        <f aca="false">+5930984899004</f>
        <v>5930984899004</v>
      </c>
      <c r="H3364" s="46" t="s">
        <v>7732</v>
      </c>
      <c r="I3364" s="46"/>
      <c r="J3364" s="1"/>
      <c r="K3364" s="1" t="s">
        <v>7616</v>
      </c>
      <c r="L3364" s="1"/>
      <c r="M3364" s="1"/>
      <c r="N3364" s="1"/>
      <c r="O3364" s="1"/>
      <c r="P3364" s="6"/>
      <c r="Q3364" s="1"/>
      <c r="R3364" s="1"/>
      <c r="S3364" s="1"/>
      <c r="T3364" s="1"/>
      <c r="U3364" s="1"/>
      <c r="V3364" s="1"/>
      <c r="W3364" s="1"/>
      <c r="X3364" s="1"/>
      <c r="Y3364" s="1"/>
      <c r="Z3364" s="1"/>
    </row>
    <row r="3365" customFormat="false" ht="21.75" hidden="false" customHeight="true" outlineLevel="0" collapsed="false">
      <c r="A3365" s="4" t="n">
        <v>43508</v>
      </c>
      <c r="B3365" s="53" t="s">
        <v>178</v>
      </c>
      <c r="C3365" s="46" t="s">
        <v>15</v>
      </c>
      <c r="D3365" s="46" t="s">
        <v>43</v>
      </c>
      <c r="E3365" s="46" t="s">
        <v>44</v>
      </c>
      <c r="F3365" s="46" t="s">
        <v>7733</v>
      </c>
      <c r="G3365" s="46" t="n">
        <f aca="false">+593979405644</f>
        <v>593979405644</v>
      </c>
      <c r="H3365" s="46" t="s">
        <v>7734</v>
      </c>
      <c r="I3365" s="46"/>
      <c r="J3365" s="1"/>
      <c r="K3365" s="1" t="s">
        <v>7616</v>
      </c>
      <c r="L3365" s="1"/>
      <c r="M3365" s="1"/>
      <c r="N3365" s="1"/>
      <c r="O3365" s="1"/>
      <c r="P3365" s="6"/>
      <c r="Q3365" s="1"/>
      <c r="R3365" s="1"/>
      <c r="S3365" s="1"/>
      <c r="T3365" s="1"/>
      <c r="U3365" s="1"/>
      <c r="V3365" s="1"/>
      <c r="W3365" s="1"/>
      <c r="X3365" s="1"/>
      <c r="Y3365" s="1"/>
      <c r="Z3365" s="1"/>
    </row>
    <row r="3366" customFormat="false" ht="21.75" hidden="false" customHeight="true" outlineLevel="0" collapsed="false">
      <c r="A3366" s="4" t="n">
        <v>43508</v>
      </c>
      <c r="B3366" s="53" t="s">
        <v>81</v>
      </c>
      <c r="C3366" s="46" t="s">
        <v>15</v>
      </c>
      <c r="D3366" s="46" t="s">
        <v>43</v>
      </c>
      <c r="E3366" s="46" t="s">
        <v>44</v>
      </c>
      <c r="F3366" s="46" t="s">
        <v>7735</v>
      </c>
      <c r="G3366" s="46" t="n">
        <f aca="false">+593980679956</f>
        <v>593980679956</v>
      </c>
      <c r="H3366" s="46" t="s">
        <v>7736</v>
      </c>
      <c r="I3366" s="46"/>
      <c r="J3366" s="1"/>
      <c r="K3366" s="1" t="s">
        <v>7616</v>
      </c>
      <c r="L3366" s="1"/>
      <c r="M3366" s="1"/>
      <c r="N3366" s="1"/>
      <c r="O3366" s="1"/>
      <c r="P3366" s="6"/>
      <c r="Q3366" s="1"/>
      <c r="R3366" s="1"/>
      <c r="S3366" s="1"/>
      <c r="T3366" s="1"/>
      <c r="U3366" s="1"/>
      <c r="V3366" s="1"/>
      <c r="W3366" s="1"/>
      <c r="X3366" s="1"/>
      <c r="Y3366" s="1"/>
      <c r="Z3366" s="1"/>
    </row>
    <row r="3367" customFormat="false" ht="21.75" hidden="false" customHeight="true" outlineLevel="0" collapsed="false">
      <c r="A3367" s="4" t="n">
        <v>43508</v>
      </c>
      <c r="B3367" s="53" t="s">
        <v>81</v>
      </c>
      <c r="C3367" s="46" t="s">
        <v>15</v>
      </c>
      <c r="D3367" s="46" t="s">
        <v>43</v>
      </c>
      <c r="E3367" s="46" t="s">
        <v>44</v>
      </c>
      <c r="F3367" s="46" t="s">
        <v>7737</v>
      </c>
      <c r="G3367" s="46" t="n">
        <f aca="false">+593989353373</f>
        <v>593989353373</v>
      </c>
      <c r="H3367" s="46" t="s">
        <v>7738</v>
      </c>
      <c r="I3367" s="46"/>
      <c r="J3367" s="1"/>
      <c r="K3367" s="1" t="s">
        <v>7616</v>
      </c>
      <c r="L3367" s="1" t="s">
        <v>7739</v>
      </c>
      <c r="M3367" s="1"/>
      <c r="N3367" s="1"/>
      <c r="O3367" s="1"/>
      <c r="P3367" s="6"/>
      <c r="Q3367" s="1"/>
      <c r="R3367" s="1"/>
      <c r="S3367" s="1"/>
      <c r="T3367" s="1"/>
      <c r="U3367" s="1"/>
      <c r="V3367" s="1"/>
      <c r="W3367" s="1"/>
      <c r="X3367" s="1"/>
      <c r="Y3367" s="1"/>
      <c r="Z3367" s="1"/>
    </row>
    <row r="3368" customFormat="false" ht="21.75" hidden="false" customHeight="true" outlineLevel="0" collapsed="false">
      <c r="A3368" s="4" t="n">
        <v>43508</v>
      </c>
      <c r="B3368" s="53" t="s">
        <v>166</v>
      </c>
      <c r="C3368" s="46" t="s">
        <v>15</v>
      </c>
      <c r="D3368" s="46" t="s">
        <v>16</v>
      </c>
      <c r="E3368" s="46" t="s">
        <v>17</v>
      </c>
      <c r="F3368" s="46" t="s">
        <v>7740</v>
      </c>
      <c r="G3368" s="46" t="n">
        <f aca="false">+593996639857</f>
        <v>593996639857</v>
      </c>
      <c r="H3368" s="46" t="s">
        <v>7741</v>
      </c>
      <c r="I3368" s="46"/>
      <c r="J3368" s="1"/>
      <c r="K3368" s="1" t="s">
        <v>7616</v>
      </c>
      <c r="L3368" s="1" t="s">
        <v>7739</v>
      </c>
      <c r="M3368" s="1"/>
      <c r="N3368" s="1"/>
      <c r="O3368" s="1"/>
      <c r="P3368" s="6"/>
      <c r="Q3368" s="1"/>
      <c r="R3368" s="1"/>
      <c r="S3368" s="1"/>
      <c r="T3368" s="1"/>
      <c r="U3368" s="1"/>
      <c r="V3368" s="1"/>
      <c r="W3368" s="1"/>
      <c r="X3368" s="1"/>
      <c r="Y3368" s="1"/>
      <c r="Z3368" s="1"/>
    </row>
    <row r="3369" customFormat="false" ht="21.75" hidden="false" customHeight="true" outlineLevel="0" collapsed="false">
      <c r="A3369" s="4" t="n">
        <v>43508</v>
      </c>
      <c r="B3369" s="53" t="s">
        <v>301</v>
      </c>
      <c r="C3369" s="46" t="s">
        <v>15</v>
      </c>
      <c r="D3369" s="46" t="s">
        <v>16</v>
      </c>
      <c r="E3369" s="46" t="s">
        <v>17</v>
      </c>
      <c r="F3369" s="46" t="s">
        <v>7742</v>
      </c>
      <c r="G3369" s="46" t="n">
        <f aca="false">+593939911768</f>
        <v>593939911768</v>
      </c>
      <c r="H3369" s="46" t="s">
        <v>7743</v>
      </c>
      <c r="I3369" s="46"/>
      <c r="J3369" s="1"/>
      <c r="K3369" s="1" t="s">
        <v>7616</v>
      </c>
      <c r="L3369" s="1" t="s">
        <v>7739</v>
      </c>
      <c r="M3369" s="1"/>
      <c r="N3369" s="1"/>
      <c r="O3369" s="1"/>
      <c r="P3369" s="6"/>
      <c r="Q3369" s="1"/>
      <c r="R3369" s="1"/>
      <c r="S3369" s="1"/>
      <c r="T3369" s="1"/>
      <c r="U3369" s="1"/>
      <c r="V3369" s="1"/>
      <c r="W3369" s="1"/>
      <c r="X3369" s="1"/>
      <c r="Y3369" s="1"/>
      <c r="Z3369" s="1"/>
    </row>
    <row r="3370" customFormat="false" ht="21.75" hidden="false" customHeight="true" outlineLevel="0" collapsed="false">
      <c r="A3370" s="4" t="n">
        <v>43508</v>
      </c>
      <c r="B3370" s="53" t="s">
        <v>86</v>
      </c>
      <c r="C3370" s="46" t="s">
        <v>15</v>
      </c>
      <c r="D3370" s="46" t="s">
        <v>16</v>
      </c>
      <c r="E3370" s="46" t="s">
        <v>17</v>
      </c>
      <c r="F3370" s="46" t="s">
        <v>7744</v>
      </c>
      <c r="G3370" s="46" t="n">
        <f aca="false">+593992158020</f>
        <v>593992158020</v>
      </c>
      <c r="H3370" s="46" t="s">
        <v>7745</v>
      </c>
      <c r="I3370" s="46"/>
      <c r="J3370" s="1"/>
      <c r="K3370" s="1" t="s">
        <v>7746</v>
      </c>
      <c r="L3370" s="1" t="s">
        <v>7739</v>
      </c>
      <c r="M3370" s="1"/>
      <c r="N3370" s="1"/>
      <c r="O3370" s="1"/>
      <c r="P3370" s="6"/>
      <c r="Q3370" s="1"/>
      <c r="R3370" s="1"/>
      <c r="S3370" s="1"/>
      <c r="T3370" s="1"/>
      <c r="U3370" s="1"/>
      <c r="V3370" s="1"/>
      <c r="W3370" s="1"/>
      <c r="X3370" s="1"/>
      <c r="Y3370" s="1"/>
      <c r="Z3370" s="1"/>
    </row>
    <row r="3371" customFormat="false" ht="21.75" hidden="false" customHeight="true" outlineLevel="0" collapsed="false">
      <c r="A3371" s="4" t="n">
        <v>43508</v>
      </c>
      <c r="B3371" s="53" t="s">
        <v>86</v>
      </c>
      <c r="C3371" s="46" t="s">
        <v>15</v>
      </c>
      <c r="D3371" s="46" t="s">
        <v>16</v>
      </c>
      <c r="E3371" s="46" t="s">
        <v>17</v>
      </c>
      <c r="F3371" s="46" t="s">
        <v>7747</v>
      </c>
      <c r="G3371" s="46" t="n">
        <f aca="false">+5930994333697</f>
        <v>5930994333697</v>
      </c>
      <c r="H3371" s="46" t="s">
        <v>7748</v>
      </c>
      <c r="I3371" s="46"/>
      <c r="J3371" s="1"/>
      <c r="K3371" s="1" t="s">
        <v>7616</v>
      </c>
      <c r="L3371" s="1" t="s">
        <v>7749</v>
      </c>
      <c r="M3371" s="1"/>
      <c r="N3371" s="1"/>
      <c r="O3371" s="1"/>
      <c r="P3371" s="6"/>
      <c r="Q3371" s="1"/>
      <c r="R3371" s="1"/>
      <c r="S3371" s="1"/>
      <c r="T3371" s="1"/>
      <c r="U3371" s="1"/>
      <c r="V3371" s="1"/>
      <c r="W3371" s="1"/>
      <c r="X3371" s="1"/>
      <c r="Y3371" s="1"/>
      <c r="Z3371" s="1"/>
    </row>
    <row r="3372" customFormat="false" ht="27" hidden="false" customHeight="true" outlineLevel="0" collapsed="false">
      <c r="A3372" s="4" t="n">
        <v>43508</v>
      </c>
      <c r="B3372" s="53" t="s">
        <v>86</v>
      </c>
      <c r="C3372" s="46" t="s">
        <v>15</v>
      </c>
      <c r="D3372" s="46" t="s">
        <v>16</v>
      </c>
      <c r="E3372" s="46" t="s">
        <v>17</v>
      </c>
      <c r="F3372" s="46" t="s">
        <v>7750</v>
      </c>
      <c r="G3372" s="46" t="n">
        <f aca="false">+593981992683</f>
        <v>593981992683</v>
      </c>
      <c r="H3372" s="46" t="s">
        <v>7751</v>
      </c>
      <c r="I3372" s="46"/>
      <c r="J3372" s="1"/>
      <c r="K3372" s="1" t="s">
        <v>7752</v>
      </c>
      <c r="L3372" s="1" t="s">
        <v>7753</v>
      </c>
      <c r="M3372" s="1"/>
      <c r="N3372" s="1"/>
      <c r="O3372" s="1"/>
      <c r="P3372" s="6"/>
      <c r="Q3372" s="1"/>
      <c r="R3372" s="1"/>
      <c r="S3372" s="1"/>
      <c r="T3372" s="1"/>
      <c r="U3372" s="1"/>
      <c r="V3372" s="1"/>
      <c r="W3372" s="1"/>
      <c r="X3372" s="1"/>
      <c r="Y3372" s="1"/>
      <c r="Z3372" s="1"/>
    </row>
    <row r="3373" customFormat="false" ht="21.75" hidden="false" customHeight="true" outlineLevel="0" collapsed="false">
      <c r="A3373" s="4" t="n">
        <v>43508</v>
      </c>
      <c r="B3373" s="53" t="s">
        <v>911</v>
      </c>
      <c r="C3373" s="46" t="s">
        <v>15</v>
      </c>
      <c r="D3373" s="46" t="s">
        <v>16</v>
      </c>
      <c r="E3373" s="46" t="s">
        <v>17</v>
      </c>
      <c r="F3373" s="46" t="s">
        <v>7754</v>
      </c>
      <c r="G3373" s="46" t="n">
        <f aca="false">+593992154219</f>
        <v>593992154219</v>
      </c>
      <c r="H3373" s="46" t="s">
        <v>7755</v>
      </c>
      <c r="I3373" s="46"/>
      <c r="J3373" s="1"/>
      <c r="K3373" s="1" t="s">
        <v>7756</v>
      </c>
      <c r="L3373" s="1"/>
      <c r="M3373" s="1"/>
      <c r="N3373" s="1"/>
      <c r="O3373" s="1"/>
      <c r="P3373" s="6"/>
      <c r="Q3373" s="1"/>
      <c r="R3373" s="1"/>
      <c r="S3373" s="1"/>
      <c r="T3373" s="1"/>
      <c r="U3373" s="1"/>
      <c r="V3373" s="1"/>
      <c r="W3373" s="1"/>
      <c r="X3373" s="1"/>
      <c r="Y3373" s="1"/>
      <c r="Z3373" s="1"/>
    </row>
    <row r="3374" customFormat="false" ht="21.75" hidden="false" customHeight="true" outlineLevel="0" collapsed="false">
      <c r="A3374" s="4" t="n">
        <v>43508</v>
      </c>
      <c r="B3374" s="53" t="s">
        <v>911</v>
      </c>
      <c r="C3374" s="46" t="s">
        <v>15</v>
      </c>
      <c r="D3374" s="46" t="s">
        <v>16</v>
      </c>
      <c r="E3374" s="46" t="s">
        <v>17</v>
      </c>
      <c r="F3374" s="46" t="s">
        <v>7757</v>
      </c>
      <c r="G3374" s="46" t="n">
        <f aca="false">+593982862160</f>
        <v>593982862160</v>
      </c>
      <c r="H3374" s="46" t="s">
        <v>7758</v>
      </c>
      <c r="I3374" s="46"/>
      <c r="J3374" s="1"/>
      <c r="K3374" s="1" t="s">
        <v>7756</v>
      </c>
      <c r="L3374" s="1"/>
      <c r="M3374" s="1"/>
      <c r="N3374" s="1"/>
      <c r="O3374" s="1"/>
      <c r="P3374" s="6"/>
      <c r="Q3374" s="1"/>
      <c r="R3374" s="1"/>
      <c r="S3374" s="1"/>
      <c r="T3374" s="1"/>
      <c r="U3374" s="1"/>
      <c r="V3374" s="1"/>
      <c r="W3374" s="1"/>
      <c r="X3374" s="1"/>
      <c r="Y3374" s="1"/>
      <c r="Z3374" s="1"/>
    </row>
    <row r="3375" customFormat="false" ht="21.75" hidden="false" customHeight="true" outlineLevel="0" collapsed="false">
      <c r="A3375" s="4" t="n">
        <v>43508</v>
      </c>
      <c r="B3375" s="53" t="s">
        <v>14</v>
      </c>
      <c r="C3375" s="46" t="s">
        <v>15</v>
      </c>
      <c r="D3375" s="46" t="s">
        <v>16</v>
      </c>
      <c r="E3375" s="46" t="s">
        <v>17</v>
      </c>
      <c r="F3375" s="46" t="s">
        <v>7759</v>
      </c>
      <c r="G3375" s="46" t="n">
        <f aca="false">+593986957059</f>
        <v>593986957059</v>
      </c>
      <c r="H3375" s="46" t="s">
        <v>7760</v>
      </c>
      <c r="I3375" s="46"/>
      <c r="J3375" s="1"/>
      <c r="K3375" s="1" t="s">
        <v>7761</v>
      </c>
      <c r="L3375" s="1"/>
      <c r="M3375" s="1"/>
      <c r="N3375" s="1"/>
      <c r="O3375" s="1"/>
      <c r="P3375" s="6"/>
      <c r="Q3375" s="1"/>
      <c r="R3375" s="1"/>
      <c r="S3375" s="1"/>
      <c r="T3375" s="1"/>
      <c r="U3375" s="1"/>
      <c r="V3375" s="1"/>
      <c r="W3375" s="1"/>
      <c r="X3375" s="1"/>
      <c r="Y3375" s="1"/>
      <c r="Z3375" s="1"/>
    </row>
    <row r="3376" customFormat="false" ht="30.75" hidden="false" customHeight="true" outlineLevel="0" collapsed="false">
      <c r="A3376" s="4" t="n">
        <v>43508</v>
      </c>
      <c r="B3376" s="53" t="s">
        <v>161</v>
      </c>
      <c r="C3376" s="46" t="s">
        <v>15</v>
      </c>
      <c r="D3376" s="46" t="s">
        <v>16</v>
      </c>
      <c r="E3376" s="46" t="s">
        <v>17</v>
      </c>
      <c r="F3376" s="46" t="s">
        <v>7762</v>
      </c>
      <c r="G3376" s="46" t="n">
        <f aca="false">+593999306768</f>
        <v>593999306768</v>
      </c>
      <c r="H3376" s="46" t="s">
        <v>7763</v>
      </c>
      <c r="I3376" s="46"/>
      <c r="J3376" s="1"/>
      <c r="K3376" s="1" t="s">
        <v>7764</v>
      </c>
      <c r="L3376" s="1" t="s">
        <v>7753</v>
      </c>
      <c r="M3376" s="1"/>
      <c r="N3376" s="1"/>
      <c r="O3376" s="1"/>
      <c r="P3376" s="6"/>
      <c r="Q3376" s="1"/>
      <c r="R3376" s="1"/>
      <c r="S3376" s="1"/>
      <c r="T3376" s="1"/>
      <c r="U3376" s="1"/>
      <c r="V3376" s="1"/>
      <c r="W3376" s="1"/>
      <c r="X3376" s="1"/>
      <c r="Y3376" s="1"/>
      <c r="Z3376" s="1"/>
    </row>
    <row r="3377" customFormat="false" ht="21.75" hidden="false" customHeight="true" outlineLevel="0" collapsed="false">
      <c r="A3377" s="4" t="n">
        <v>43508</v>
      </c>
      <c r="B3377" s="53" t="s">
        <v>48</v>
      </c>
      <c r="C3377" s="45" t="s">
        <v>15</v>
      </c>
      <c r="D3377" s="46" t="s">
        <v>43</v>
      </c>
      <c r="E3377" s="46" t="s">
        <v>109</v>
      </c>
      <c r="F3377" s="50" t="s">
        <v>7765</v>
      </c>
      <c r="G3377" s="52"/>
      <c r="H3377" s="52" t="s">
        <v>7766</v>
      </c>
      <c r="I3377" s="52"/>
      <c r="J3377" s="1"/>
      <c r="K3377" s="1" t="s">
        <v>7616</v>
      </c>
      <c r="L3377" s="1" t="s">
        <v>7767</v>
      </c>
      <c r="M3377" s="1"/>
      <c r="N3377" s="1"/>
      <c r="O3377" s="1"/>
      <c r="P3377" s="6"/>
      <c r="Q3377" s="1"/>
      <c r="R3377" s="1"/>
      <c r="S3377" s="1"/>
      <c r="T3377" s="1"/>
      <c r="U3377" s="1"/>
      <c r="V3377" s="1"/>
      <c r="W3377" s="1"/>
      <c r="X3377" s="1"/>
      <c r="Y3377" s="1"/>
      <c r="Z3377" s="1"/>
    </row>
    <row r="3378" customFormat="false" ht="31.5" hidden="false" customHeight="true" outlineLevel="0" collapsed="false">
      <c r="A3378" s="4" t="n">
        <v>43508</v>
      </c>
      <c r="B3378" s="53" t="s">
        <v>14</v>
      </c>
      <c r="C3378" s="45" t="s">
        <v>15</v>
      </c>
      <c r="D3378" s="46" t="s">
        <v>16</v>
      </c>
      <c r="E3378" s="46" t="s">
        <v>17</v>
      </c>
      <c r="F3378" s="50" t="s">
        <v>7768</v>
      </c>
      <c r="G3378" s="51" t="n">
        <v>979301806</v>
      </c>
      <c r="H3378" s="52"/>
      <c r="I3378" s="52"/>
      <c r="J3378" s="1"/>
      <c r="K3378" s="1" t="s">
        <v>7769</v>
      </c>
      <c r="L3378" s="1"/>
      <c r="M3378" s="1"/>
      <c r="N3378" s="1"/>
      <c r="O3378" s="1"/>
      <c r="P3378" s="6"/>
      <c r="Q3378" s="1"/>
      <c r="R3378" s="1"/>
      <c r="S3378" s="1"/>
      <c r="T3378" s="1"/>
      <c r="U3378" s="1"/>
      <c r="V3378" s="1"/>
      <c r="W3378" s="1"/>
      <c r="X3378" s="1"/>
      <c r="Y3378" s="1"/>
      <c r="Z3378" s="1"/>
    </row>
    <row r="3379" customFormat="false" ht="21.75" hidden="false" customHeight="true" outlineLevel="0" collapsed="false">
      <c r="A3379" s="4" t="n">
        <v>43508</v>
      </c>
      <c r="B3379" s="53" t="s">
        <v>1831</v>
      </c>
      <c r="C3379" s="45" t="s">
        <v>15</v>
      </c>
      <c r="D3379" s="46" t="s">
        <v>43</v>
      </c>
      <c r="E3379" s="46" t="s">
        <v>109</v>
      </c>
      <c r="F3379" s="50" t="s">
        <v>7770</v>
      </c>
      <c r="G3379" s="51" t="n">
        <v>988158692</v>
      </c>
      <c r="H3379" s="52" t="s">
        <v>7771</v>
      </c>
      <c r="I3379" s="52"/>
      <c r="J3379" s="1"/>
      <c r="K3379" s="1" t="s">
        <v>7616</v>
      </c>
      <c r="L3379" s="1"/>
      <c r="M3379" s="1"/>
      <c r="N3379" s="1"/>
      <c r="O3379" s="1"/>
      <c r="P3379" s="6"/>
      <c r="Q3379" s="1"/>
      <c r="R3379" s="1"/>
      <c r="S3379" s="1"/>
      <c r="T3379" s="1"/>
      <c r="U3379" s="1"/>
      <c r="V3379" s="1"/>
      <c r="W3379" s="1"/>
      <c r="X3379" s="1"/>
      <c r="Y3379" s="1"/>
      <c r="Z3379" s="1"/>
    </row>
    <row r="3380" customFormat="false" ht="21.75" hidden="false" customHeight="true" outlineLevel="0" collapsed="false">
      <c r="A3380" s="4" t="n">
        <v>43508</v>
      </c>
      <c r="B3380" s="53" t="s">
        <v>48</v>
      </c>
      <c r="C3380" s="45" t="s">
        <v>15</v>
      </c>
      <c r="D3380" s="46" t="s">
        <v>43</v>
      </c>
      <c r="E3380" s="46" t="s">
        <v>109</v>
      </c>
      <c r="F3380" s="50" t="s">
        <v>7569</v>
      </c>
      <c r="G3380" s="51" t="n">
        <v>996472917</v>
      </c>
      <c r="H3380" s="52" t="s">
        <v>7570</v>
      </c>
      <c r="I3380" s="52"/>
      <c r="J3380" s="1"/>
      <c r="K3380" s="1" t="s">
        <v>7616</v>
      </c>
      <c r="L3380" s="1" t="s">
        <v>7772</v>
      </c>
      <c r="M3380" s="1"/>
      <c r="N3380" s="1"/>
      <c r="O3380" s="1"/>
      <c r="P3380" s="6"/>
      <c r="Q3380" s="1"/>
      <c r="R3380" s="1"/>
      <c r="S3380" s="1"/>
      <c r="T3380" s="1"/>
      <c r="U3380" s="1"/>
      <c r="V3380" s="1"/>
      <c r="W3380" s="1"/>
      <c r="X3380" s="1"/>
      <c r="Y3380" s="1"/>
      <c r="Z3380" s="1"/>
    </row>
    <row r="3381" customFormat="false" ht="21.75" hidden="false" customHeight="true" outlineLevel="0" collapsed="false">
      <c r="A3381" s="4" t="n">
        <v>43508</v>
      </c>
      <c r="B3381" s="53" t="s">
        <v>178</v>
      </c>
      <c r="C3381" s="45" t="s">
        <v>15</v>
      </c>
      <c r="D3381" s="46" t="s">
        <v>43</v>
      </c>
      <c r="E3381" s="46" t="s">
        <v>44</v>
      </c>
      <c r="F3381" s="50" t="s">
        <v>7773</v>
      </c>
      <c r="G3381" s="51" t="n">
        <v>990642399</v>
      </c>
      <c r="H3381" s="52" t="s">
        <v>7774</v>
      </c>
      <c r="I3381" s="52"/>
      <c r="J3381" s="1"/>
      <c r="K3381" s="1" t="s">
        <v>7616</v>
      </c>
      <c r="L3381" s="1" t="s">
        <v>7775</v>
      </c>
      <c r="M3381" s="1"/>
      <c r="N3381" s="1"/>
      <c r="O3381" s="1"/>
      <c r="P3381" s="6"/>
      <c r="Q3381" s="1"/>
      <c r="R3381" s="1"/>
      <c r="S3381" s="1"/>
      <c r="T3381" s="1"/>
      <c r="U3381" s="1"/>
      <c r="V3381" s="1"/>
      <c r="W3381" s="1"/>
      <c r="X3381" s="1"/>
      <c r="Y3381" s="1"/>
      <c r="Z3381" s="1"/>
    </row>
    <row r="3382" customFormat="false" ht="21.75" hidden="false" customHeight="true" outlineLevel="0" collapsed="false">
      <c r="A3382" s="4" t="n">
        <v>43508</v>
      </c>
      <c r="B3382" s="53" t="s">
        <v>532</v>
      </c>
      <c r="C3382" s="45" t="s">
        <v>15</v>
      </c>
      <c r="D3382" s="46" t="s">
        <v>43</v>
      </c>
      <c r="E3382" s="46" t="s">
        <v>109</v>
      </c>
      <c r="F3382" s="50" t="s">
        <v>7776</v>
      </c>
      <c r="G3382" s="51" t="n">
        <v>982706505</v>
      </c>
      <c r="H3382" s="52" t="s">
        <v>7777</v>
      </c>
      <c r="I3382" s="52"/>
      <c r="J3382" s="1"/>
      <c r="K3382" s="1" t="s">
        <v>7616</v>
      </c>
      <c r="L3382" s="1" t="s">
        <v>7778</v>
      </c>
      <c r="M3382" s="1"/>
      <c r="N3382" s="1"/>
      <c r="O3382" s="1"/>
      <c r="P3382" s="6"/>
      <c r="Q3382" s="1"/>
      <c r="R3382" s="1"/>
      <c r="S3382" s="1"/>
      <c r="T3382" s="1"/>
      <c r="U3382" s="1"/>
      <c r="V3382" s="1"/>
      <c r="W3382" s="1"/>
      <c r="X3382" s="1"/>
      <c r="Y3382" s="1"/>
      <c r="Z3382" s="1"/>
    </row>
    <row r="3383" customFormat="false" ht="21.75" hidden="false" customHeight="true" outlineLevel="0" collapsed="false">
      <c r="A3383" s="4" t="n">
        <v>43508</v>
      </c>
      <c r="B3383" s="53" t="s">
        <v>1114</v>
      </c>
      <c r="C3383" s="45" t="s">
        <v>15</v>
      </c>
      <c r="D3383" s="46" t="s">
        <v>43</v>
      </c>
      <c r="E3383" s="46" t="s">
        <v>109</v>
      </c>
      <c r="F3383" s="50" t="s">
        <v>7779</v>
      </c>
      <c r="G3383" s="51" t="n">
        <v>983880438</v>
      </c>
      <c r="H3383" s="52" t="s">
        <v>7780</v>
      </c>
      <c r="I3383" s="52"/>
      <c r="J3383" s="1"/>
      <c r="K3383" s="1" t="s">
        <v>7778</v>
      </c>
      <c r="L3383" s="1"/>
      <c r="M3383" s="1"/>
      <c r="N3383" s="1"/>
      <c r="O3383" s="1"/>
      <c r="P3383" s="6"/>
      <c r="Q3383" s="1"/>
      <c r="R3383" s="1"/>
      <c r="S3383" s="1"/>
      <c r="T3383" s="1"/>
      <c r="U3383" s="1"/>
      <c r="V3383" s="1"/>
      <c r="W3383" s="1"/>
      <c r="X3383" s="1"/>
      <c r="Y3383" s="1"/>
      <c r="Z3383" s="1"/>
    </row>
    <row r="3384" customFormat="false" ht="21.75" hidden="false" customHeight="true" outlineLevel="0" collapsed="false">
      <c r="A3384" s="4" t="n">
        <v>43508</v>
      </c>
      <c r="B3384" s="53" t="s">
        <v>352</v>
      </c>
      <c r="C3384" s="45" t="s">
        <v>15</v>
      </c>
      <c r="D3384" s="46" t="s">
        <v>43</v>
      </c>
      <c r="E3384" s="46" t="s">
        <v>109</v>
      </c>
      <c r="F3384" s="50" t="s">
        <v>7781</v>
      </c>
      <c r="G3384" s="51" t="n">
        <v>997639215</v>
      </c>
      <c r="H3384" s="52" t="s">
        <v>7782</v>
      </c>
      <c r="I3384" s="52"/>
      <c r="J3384" s="1"/>
      <c r="K3384" s="1" t="s">
        <v>7778</v>
      </c>
      <c r="L3384" s="1"/>
      <c r="M3384" s="1"/>
      <c r="N3384" s="1"/>
      <c r="O3384" s="1"/>
      <c r="P3384" s="6"/>
      <c r="Q3384" s="1"/>
      <c r="R3384" s="1"/>
      <c r="S3384" s="1"/>
      <c r="T3384" s="1"/>
      <c r="U3384" s="1"/>
      <c r="V3384" s="1"/>
      <c r="W3384" s="1"/>
      <c r="X3384" s="1"/>
      <c r="Y3384" s="1"/>
      <c r="Z3384" s="1"/>
    </row>
    <row r="3385" customFormat="false" ht="21.75" hidden="false" customHeight="true" outlineLevel="0" collapsed="false">
      <c r="A3385" s="4" t="n">
        <v>43508</v>
      </c>
      <c r="B3385" s="53" t="s">
        <v>323</v>
      </c>
      <c r="C3385" s="45" t="s">
        <v>15</v>
      </c>
      <c r="D3385" s="46" t="s">
        <v>43</v>
      </c>
      <c r="E3385" s="46" t="s">
        <v>109</v>
      </c>
      <c r="F3385" s="50" t="s">
        <v>7783</v>
      </c>
      <c r="G3385" s="51" t="n">
        <v>995700886</v>
      </c>
      <c r="H3385" s="52" t="s">
        <v>7784</v>
      </c>
      <c r="I3385" s="52"/>
      <c r="J3385" s="1"/>
      <c r="K3385" s="1" t="s">
        <v>7778</v>
      </c>
      <c r="L3385" s="1"/>
      <c r="M3385" s="1"/>
      <c r="N3385" s="1"/>
      <c r="O3385" s="1"/>
      <c r="P3385" s="6"/>
      <c r="Q3385" s="1"/>
      <c r="R3385" s="1"/>
      <c r="S3385" s="1"/>
      <c r="T3385" s="1"/>
      <c r="U3385" s="1"/>
      <c r="V3385" s="1"/>
      <c r="W3385" s="1"/>
      <c r="X3385" s="1"/>
      <c r="Y3385" s="1"/>
      <c r="Z3385" s="1"/>
    </row>
    <row r="3386" customFormat="false" ht="21.75" hidden="false" customHeight="true" outlineLevel="0" collapsed="false">
      <c r="A3386" s="4" t="n">
        <v>43508</v>
      </c>
      <c r="B3386" s="53" t="s">
        <v>127</v>
      </c>
      <c r="C3386" s="45" t="s">
        <v>15</v>
      </c>
      <c r="D3386" s="46" t="s">
        <v>43</v>
      </c>
      <c r="E3386" s="46" t="s">
        <v>883</v>
      </c>
      <c r="F3386" s="50" t="s">
        <v>7785</v>
      </c>
      <c r="G3386" s="51" t="n">
        <v>989737310</v>
      </c>
      <c r="H3386" s="52" t="s">
        <v>7786</v>
      </c>
      <c r="I3386" s="52"/>
      <c r="J3386" s="1"/>
      <c r="K3386" s="1" t="s">
        <v>7761</v>
      </c>
      <c r="L3386" s="1"/>
      <c r="M3386" s="1"/>
      <c r="N3386" s="1"/>
      <c r="O3386" s="1"/>
      <c r="P3386" s="6"/>
      <c r="Q3386" s="1"/>
      <c r="R3386" s="1"/>
      <c r="S3386" s="1"/>
      <c r="T3386" s="1"/>
      <c r="U3386" s="1"/>
      <c r="V3386" s="1"/>
      <c r="W3386" s="1"/>
      <c r="X3386" s="1"/>
      <c r="Y3386" s="1"/>
      <c r="Z3386" s="1"/>
    </row>
    <row r="3387" customFormat="false" ht="21.75" hidden="false" customHeight="true" outlineLevel="0" collapsed="false">
      <c r="A3387" s="4" t="n">
        <v>43508</v>
      </c>
      <c r="B3387" s="53" t="s">
        <v>48</v>
      </c>
      <c r="C3387" s="45" t="s">
        <v>15</v>
      </c>
      <c r="D3387" s="46" t="s">
        <v>43</v>
      </c>
      <c r="E3387" s="46" t="s">
        <v>44</v>
      </c>
      <c r="F3387" s="50" t="s">
        <v>7787</v>
      </c>
      <c r="G3387" s="51" t="n">
        <v>995490704</v>
      </c>
      <c r="H3387" s="52" t="s">
        <v>7788</v>
      </c>
      <c r="I3387" s="52"/>
      <c r="J3387" s="1"/>
      <c r="K3387" s="1" t="s">
        <v>7778</v>
      </c>
      <c r="L3387" s="1"/>
      <c r="M3387" s="1"/>
      <c r="N3387" s="1"/>
      <c r="O3387" s="1"/>
      <c r="P3387" s="6"/>
      <c r="Q3387" s="1"/>
      <c r="R3387" s="1"/>
      <c r="S3387" s="1"/>
      <c r="T3387" s="1"/>
      <c r="U3387" s="1"/>
      <c r="V3387" s="1"/>
      <c r="W3387" s="1"/>
      <c r="X3387" s="1"/>
      <c r="Y3387" s="1"/>
      <c r="Z3387" s="1"/>
    </row>
    <row r="3388" customFormat="false" ht="21.75" hidden="false" customHeight="true" outlineLevel="0" collapsed="false">
      <c r="A3388" s="4" t="n">
        <v>43508</v>
      </c>
      <c r="B3388" s="53" t="s">
        <v>48</v>
      </c>
      <c r="C3388" s="45" t="s">
        <v>15</v>
      </c>
      <c r="D3388" s="46" t="s">
        <v>43</v>
      </c>
      <c r="E3388" s="46" t="s">
        <v>44</v>
      </c>
      <c r="F3388" s="70" t="s">
        <v>7789</v>
      </c>
      <c r="G3388" s="70"/>
      <c r="H3388" s="52" t="s">
        <v>7790</v>
      </c>
      <c r="I3388" s="52"/>
      <c r="J3388" s="1"/>
      <c r="K3388" s="1" t="s">
        <v>7791</v>
      </c>
      <c r="L3388" s="1"/>
      <c r="M3388" s="1"/>
      <c r="N3388" s="1"/>
      <c r="O3388" s="1"/>
      <c r="P3388" s="6"/>
      <c r="Q3388" s="1"/>
      <c r="R3388" s="1"/>
      <c r="S3388" s="1"/>
      <c r="T3388" s="1"/>
      <c r="U3388" s="1"/>
      <c r="V3388" s="1"/>
      <c r="W3388" s="1"/>
      <c r="X3388" s="1"/>
      <c r="Y3388" s="1"/>
      <c r="Z3388" s="1"/>
    </row>
    <row r="3389" customFormat="false" ht="21.75" hidden="false" customHeight="true" outlineLevel="0" collapsed="false">
      <c r="A3389" s="4" t="n">
        <v>43508</v>
      </c>
      <c r="B3389" s="53" t="s">
        <v>48</v>
      </c>
      <c r="C3389" s="45" t="s">
        <v>15</v>
      </c>
      <c r="D3389" s="46" t="s">
        <v>43</v>
      </c>
      <c r="E3389" s="46" t="s">
        <v>109</v>
      </c>
      <c r="F3389" s="50" t="s">
        <v>7792</v>
      </c>
      <c r="G3389" s="51" t="n">
        <v>961165377</v>
      </c>
      <c r="H3389" s="52" t="s">
        <v>7793</v>
      </c>
      <c r="I3389" s="52"/>
      <c r="J3389" s="1"/>
      <c r="K3389" s="1" t="s">
        <v>7794</v>
      </c>
      <c r="L3389" s="1" t="s">
        <v>7778</v>
      </c>
      <c r="M3389" s="1"/>
      <c r="N3389" s="1"/>
      <c r="O3389" s="1"/>
      <c r="P3389" s="6"/>
      <c r="Q3389" s="1"/>
      <c r="R3389" s="1"/>
      <c r="S3389" s="1"/>
      <c r="T3389" s="1"/>
      <c r="U3389" s="1"/>
      <c r="V3389" s="1"/>
      <c r="W3389" s="1"/>
      <c r="X3389" s="1"/>
      <c r="Y3389" s="1"/>
      <c r="Z3389" s="1"/>
    </row>
    <row r="3390" customFormat="false" ht="21.75" hidden="false" customHeight="true" outlineLevel="0" collapsed="false">
      <c r="A3390" s="4" t="n">
        <v>43509</v>
      </c>
      <c r="B3390" s="46" t="s">
        <v>1114</v>
      </c>
      <c r="C3390" s="46" t="s">
        <v>15</v>
      </c>
      <c r="D3390" s="46" t="s">
        <v>43</v>
      </c>
      <c r="E3390" s="46" t="s">
        <v>883</v>
      </c>
      <c r="F3390" s="46" t="s">
        <v>7795</v>
      </c>
      <c r="G3390" s="46" t="n">
        <f aca="false">+593958772531</f>
        <v>593958772531</v>
      </c>
      <c r="H3390" s="46" t="s">
        <v>7796</v>
      </c>
      <c r="I3390" s="46"/>
      <c r="J3390" s="1"/>
      <c r="K3390" s="1" t="s">
        <v>7797</v>
      </c>
      <c r="L3390" s="1"/>
      <c r="M3390" s="1"/>
      <c r="N3390" s="1"/>
      <c r="O3390" s="1"/>
      <c r="P3390" s="6"/>
      <c r="Q3390" s="1"/>
      <c r="R3390" s="1"/>
      <c r="S3390" s="1"/>
      <c r="T3390" s="1"/>
      <c r="U3390" s="1"/>
      <c r="V3390" s="1"/>
      <c r="W3390" s="1"/>
      <c r="X3390" s="1"/>
      <c r="Y3390" s="1"/>
      <c r="Z3390" s="1"/>
    </row>
    <row r="3391" customFormat="false" ht="21.75" hidden="false" customHeight="true" outlineLevel="0" collapsed="false">
      <c r="A3391" s="4" t="n">
        <v>43509</v>
      </c>
      <c r="B3391" s="46" t="s">
        <v>1114</v>
      </c>
      <c r="C3391" s="46" t="s">
        <v>15</v>
      </c>
      <c r="D3391" s="46" t="s">
        <v>43</v>
      </c>
      <c r="E3391" s="46" t="s">
        <v>883</v>
      </c>
      <c r="F3391" s="46" t="s">
        <v>7798</v>
      </c>
      <c r="G3391" s="46" t="n">
        <f aca="false">+5930989985624</f>
        <v>5930989985624</v>
      </c>
      <c r="H3391" s="46" t="s">
        <v>7799</v>
      </c>
      <c r="I3391" s="46"/>
      <c r="J3391" s="1"/>
      <c r="K3391" s="1" t="s">
        <v>6342</v>
      </c>
      <c r="L3391" s="1"/>
      <c r="M3391" s="1"/>
      <c r="N3391" s="1"/>
      <c r="O3391" s="1"/>
      <c r="P3391" s="6"/>
      <c r="Q3391" s="1"/>
      <c r="R3391" s="1"/>
      <c r="S3391" s="1"/>
      <c r="T3391" s="1"/>
      <c r="U3391" s="1"/>
      <c r="V3391" s="1"/>
      <c r="W3391" s="1"/>
      <c r="X3391" s="1"/>
      <c r="Y3391" s="1"/>
      <c r="Z3391" s="1"/>
    </row>
    <row r="3392" customFormat="false" ht="21.75" hidden="false" customHeight="true" outlineLevel="0" collapsed="false">
      <c r="A3392" s="4" t="n">
        <v>43509</v>
      </c>
      <c r="B3392" s="46" t="s">
        <v>48</v>
      </c>
      <c r="C3392" s="46" t="s">
        <v>15</v>
      </c>
      <c r="D3392" s="46" t="s">
        <v>43</v>
      </c>
      <c r="E3392" s="46" t="s">
        <v>883</v>
      </c>
      <c r="F3392" s="46" t="s">
        <v>7800</v>
      </c>
      <c r="G3392" s="46" t="n">
        <f aca="false">+593939501584</f>
        <v>593939501584</v>
      </c>
      <c r="H3392" s="46" t="s">
        <v>7801</v>
      </c>
      <c r="I3392" s="46"/>
      <c r="J3392" s="1"/>
      <c r="K3392" s="1" t="s">
        <v>6342</v>
      </c>
      <c r="L3392" s="1"/>
      <c r="M3392" s="1"/>
      <c r="N3392" s="1"/>
      <c r="O3392" s="1"/>
      <c r="P3392" s="6"/>
      <c r="Q3392" s="1"/>
      <c r="R3392" s="1"/>
      <c r="S3392" s="1"/>
      <c r="T3392" s="1"/>
      <c r="U3392" s="1"/>
      <c r="V3392" s="1"/>
      <c r="W3392" s="1"/>
      <c r="X3392" s="1"/>
      <c r="Y3392" s="1"/>
      <c r="Z3392" s="1"/>
    </row>
    <row r="3393" customFormat="false" ht="21.75" hidden="false" customHeight="true" outlineLevel="0" collapsed="false">
      <c r="A3393" s="4" t="n">
        <v>43509</v>
      </c>
      <c r="B3393" s="46" t="s">
        <v>127</v>
      </c>
      <c r="C3393" s="46" t="s">
        <v>15</v>
      </c>
      <c r="D3393" s="46" t="s">
        <v>43</v>
      </c>
      <c r="E3393" s="46" t="s">
        <v>883</v>
      </c>
      <c r="F3393" s="46" t="s">
        <v>7802</v>
      </c>
      <c r="G3393" s="46" t="n">
        <f aca="false">+593969370195</f>
        <v>593969370195</v>
      </c>
      <c r="H3393" s="46" t="s">
        <v>7803</v>
      </c>
      <c r="I3393" s="46"/>
      <c r="J3393" s="1"/>
      <c r="K3393" s="1" t="s">
        <v>6342</v>
      </c>
      <c r="L3393" s="1"/>
      <c r="M3393" s="1"/>
      <c r="N3393" s="1"/>
      <c r="O3393" s="1"/>
      <c r="P3393" s="6"/>
      <c r="Q3393" s="1"/>
      <c r="R3393" s="1"/>
      <c r="S3393" s="1"/>
      <c r="T3393" s="1"/>
      <c r="U3393" s="1"/>
      <c r="V3393" s="1"/>
      <c r="W3393" s="1"/>
      <c r="X3393" s="1"/>
      <c r="Y3393" s="1"/>
      <c r="Z3393" s="1"/>
    </row>
    <row r="3394" customFormat="false" ht="21.75" hidden="false" customHeight="true" outlineLevel="0" collapsed="false">
      <c r="A3394" s="4" t="n">
        <v>43509</v>
      </c>
      <c r="B3394" s="46" t="s">
        <v>1114</v>
      </c>
      <c r="C3394" s="46" t="s">
        <v>15</v>
      </c>
      <c r="D3394" s="46" t="s">
        <v>43</v>
      </c>
      <c r="E3394" s="46" t="s">
        <v>883</v>
      </c>
      <c r="F3394" s="46" t="s">
        <v>7804</v>
      </c>
      <c r="G3394" s="46" t="n">
        <f aca="false">+593997257902</f>
        <v>593997257902</v>
      </c>
      <c r="H3394" s="46" t="s">
        <v>7805</v>
      </c>
      <c r="I3394" s="46"/>
      <c r="J3394" s="1"/>
      <c r="K3394" s="1" t="s">
        <v>6342</v>
      </c>
      <c r="L3394" s="1"/>
      <c r="M3394" s="1"/>
      <c r="N3394" s="1"/>
      <c r="O3394" s="1"/>
      <c r="P3394" s="6"/>
      <c r="Q3394" s="1"/>
      <c r="R3394" s="1"/>
      <c r="S3394" s="1"/>
      <c r="T3394" s="1"/>
      <c r="U3394" s="1"/>
      <c r="V3394" s="1"/>
      <c r="W3394" s="1"/>
      <c r="X3394" s="1"/>
      <c r="Y3394" s="1"/>
      <c r="Z3394" s="1"/>
    </row>
    <row r="3395" customFormat="false" ht="21.75" hidden="false" customHeight="true" outlineLevel="0" collapsed="false">
      <c r="A3395" s="4" t="n">
        <v>43509</v>
      </c>
      <c r="B3395" s="46" t="s">
        <v>1114</v>
      </c>
      <c r="C3395" s="46" t="s">
        <v>15</v>
      </c>
      <c r="D3395" s="46" t="s">
        <v>43</v>
      </c>
      <c r="E3395" s="46" t="s">
        <v>883</v>
      </c>
      <c r="F3395" s="46" t="s">
        <v>7806</v>
      </c>
      <c r="G3395" s="46" t="n">
        <f aca="false">+593993466351</f>
        <v>593993466351</v>
      </c>
      <c r="H3395" s="46" t="s">
        <v>7807</v>
      </c>
      <c r="I3395" s="46"/>
      <c r="J3395" s="1"/>
      <c r="K3395" s="1" t="s">
        <v>6342</v>
      </c>
      <c r="L3395" s="1"/>
      <c r="M3395" s="1"/>
      <c r="N3395" s="1"/>
      <c r="O3395" s="1"/>
      <c r="P3395" s="6"/>
      <c r="Q3395" s="1"/>
      <c r="R3395" s="1"/>
      <c r="S3395" s="1"/>
      <c r="T3395" s="1"/>
      <c r="U3395" s="1"/>
      <c r="V3395" s="1"/>
      <c r="W3395" s="1"/>
      <c r="X3395" s="1"/>
      <c r="Y3395" s="1"/>
      <c r="Z3395" s="1"/>
    </row>
    <row r="3396" customFormat="false" ht="21.75" hidden="false" customHeight="true" outlineLevel="0" collapsed="false">
      <c r="A3396" s="4" t="n">
        <v>43509</v>
      </c>
      <c r="B3396" s="46" t="s">
        <v>178</v>
      </c>
      <c r="C3396" s="46" t="s">
        <v>15</v>
      </c>
      <c r="D3396" s="46" t="s">
        <v>43</v>
      </c>
      <c r="E3396" s="46" t="s">
        <v>883</v>
      </c>
      <c r="F3396" s="46" t="s">
        <v>7808</v>
      </c>
      <c r="G3396" s="46" t="n">
        <f aca="false">+593979859820</f>
        <v>593979859820</v>
      </c>
      <c r="H3396" s="46" t="s">
        <v>7809</v>
      </c>
      <c r="I3396" s="46"/>
      <c r="J3396" s="1"/>
      <c r="K3396" s="1" t="s">
        <v>6342</v>
      </c>
      <c r="L3396" s="1"/>
      <c r="M3396" s="1"/>
      <c r="N3396" s="1"/>
      <c r="O3396" s="1"/>
      <c r="P3396" s="6"/>
      <c r="Q3396" s="1"/>
      <c r="R3396" s="1"/>
      <c r="S3396" s="1"/>
      <c r="T3396" s="1"/>
      <c r="U3396" s="1"/>
      <c r="V3396" s="1"/>
      <c r="W3396" s="1"/>
      <c r="X3396" s="1"/>
      <c r="Y3396" s="1"/>
      <c r="Z3396" s="1"/>
    </row>
    <row r="3397" customFormat="false" ht="21.75" hidden="false" customHeight="true" outlineLevel="0" collapsed="false">
      <c r="A3397" s="4" t="n">
        <v>43509</v>
      </c>
      <c r="B3397" s="46" t="s">
        <v>415</v>
      </c>
      <c r="C3397" s="46" t="s">
        <v>15</v>
      </c>
      <c r="D3397" s="46" t="s">
        <v>43</v>
      </c>
      <c r="E3397" s="46" t="s">
        <v>883</v>
      </c>
      <c r="F3397" s="46" t="s">
        <v>7810</v>
      </c>
      <c r="G3397" s="46" t="n">
        <f aca="false">+593994942602</f>
        <v>593994942602</v>
      </c>
      <c r="H3397" s="46" t="s">
        <v>7811</v>
      </c>
      <c r="I3397" s="46"/>
      <c r="J3397" s="1"/>
      <c r="K3397" s="1" t="s">
        <v>316</v>
      </c>
      <c r="L3397" s="1"/>
      <c r="M3397" s="1"/>
      <c r="N3397" s="1"/>
      <c r="O3397" s="1"/>
      <c r="P3397" s="6"/>
      <c r="Q3397" s="1"/>
      <c r="R3397" s="1"/>
      <c r="S3397" s="1"/>
      <c r="T3397" s="1"/>
      <c r="U3397" s="1"/>
      <c r="V3397" s="1"/>
      <c r="W3397" s="1"/>
      <c r="X3397" s="1"/>
      <c r="Y3397" s="1"/>
      <c r="Z3397" s="1"/>
    </row>
    <row r="3398" customFormat="false" ht="21.75" hidden="false" customHeight="true" outlineLevel="0" collapsed="false">
      <c r="A3398" s="4" t="n">
        <v>43509</v>
      </c>
      <c r="B3398" s="46" t="s">
        <v>352</v>
      </c>
      <c r="C3398" s="46" t="s">
        <v>26</v>
      </c>
      <c r="D3398" s="46" t="s">
        <v>43</v>
      </c>
      <c r="E3398" s="46" t="s">
        <v>883</v>
      </c>
      <c r="F3398" s="46" t="s">
        <v>7812</v>
      </c>
      <c r="G3398" s="46" t="n">
        <f aca="false">+593985079381</f>
        <v>593985079381</v>
      </c>
      <c r="H3398" s="46" t="s">
        <v>7813</v>
      </c>
      <c r="I3398" s="46"/>
      <c r="J3398" s="1"/>
      <c r="K3398" s="1" t="s">
        <v>6342</v>
      </c>
      <c r="L3398" s="1"/>
      <c r="M3398" s="1"/>
      <c r="N3398" s="1"/>
      <c r="O3398" s="1"/>
      <c r="P3398" s="6"/>
      <c r="Q3398" s="1"/>
      <c r="R3398" s="1"/>
      <c r="S3398" s="1"/>
      <c r="T3398" s="1"/>
      <c r="U3398" s="1"/>
      <c r="V3398" s="1"/>
      <c r="W3398" s="1"/>
      <c r="X3398" s="1"/>
      <c r="Y3398" s="1"/>
      <c r="Z3398" s="1"/>
    </row>
    <row r="3399" customFormat="false" ht="21.75" hidden="false" customHeight="true" outlineLevel="0" collapsed="false">
      <c r="A3399" s="4" t="n">
        <v>43509</v>
      </c>
      <c r="B3399" s="46" t="s">
        <v>1114</v>
      </c>
      <c r="C3399" s="46" t="s">
        <v>15</v>
      </c>
      <c r="D3399" s="46" t="s">
        <v>43</v>
      </c>
      <c r="E3399" s="46" t="s">
        <v>883</v>
      </c>
      <c r="F3399" s="46" t="s">
        <v>7814</v>
      </c>
      <c r="G3399" s="46" t="n">
        <f aca="false">+593979393722</f>
        <v>593979393722</v>
      </c>
      <c r="H3399" s="46" t="s">
        <v>7815</v>
      </c>
      <c r="I3399" s="46"/>
      <c r="J3399" s="1"/>
      <c r="K3399" s="1" t="s">
        <v>6342</v>
      </c>
      <c r="L3399" s="1"/>
      <c r="M3399" s="1"/>
      <c r="N3399" s="1"/>
      <c r="O3399" s="1"/>
      <c r="P3399" s="6"/>
      <c r="Q3399" s="1"/>
      <c r="R3399" s="1"/>
      <c r="S3399" s="1"/>
      <c r="T3399" s="1"/>
      <c r="U3399" s="1"/>
      <c r="V3399" s="1"/>
      <c r="W3399" s="1"/>
      <c r="X3399" s="1"/>
      <c r="Y3399" s="1"/>
      <c r="Z3399" s="1"/>
    </row>
    <row r="3400" customFormat="false" ht="21.75" hidden="false" customHeight="true" outlineLevel="0" collapsed="false">
      <c r="A3400" s="4" t="n">
        <v>43509</v>
      </c>
      <c r="B3400" s="46" t="s">
        <v>48</v>
      </c>
      <c r="C3400" s="46" t="s">
        <v>15</v>
      </c>
      <c r="D3400" s="46" t="s">
        <v>43</v>
      </c>
      <c r="E3400" s="46" t="s">
        <v>883</v>
      </c>
      <c r="F3400" s="46" t="s">
        <v>7816</v>
      </c>
      <c r="G3400" s="46" t="n">
        <f aca="false">+5930983385055</f>
        <v>5930983385055</v>
      </c>
      <c r="H3400" s="46" t="s">
        <v>7817</v>
      </c>
      <c r="I3400" s="46"/>
      <c r="J3400" s="1"/>
      <c r="K3400" s="1" t="s">
        <v>7818</v>
      </c>
      <c r="L3400" s="1"/>
      <c r="M3400" s="1"/>
      <c r="N3400" s="1"/>
      <c r="O3400" s="1"/>
      <c r="P3400" s="6"/>
      <c r="Q3400" s="1"/>
      <c r="R3400" s="1"/>
      <c r="S3400" s="1"/>
      <c r="T3400" s="1"/>
      <c r="U3400" s="1"/>
      <c r="V3400" s="1"/>
      <c r="W3400" s="1"/>
      <c r="X3400" s="1"/>
      <c r="Y3400" s="1"/>
      <c r="Z3400" s="1"/>
    </row>
    <row r="3401" customFormat="false" ht="21.75" hidden="false" customHeight="true" outlineLevel="0" collapsed="false">
      <c r="A3401" s="4" t="n">
        <v>43509</v>
      </c>
      <c r="B3401" s="46" t="s">
        <v>1114</v>
      </c>
      <c r="C3401" s="46" t="s">
        <v>15</v>
      </c>
      <c r="D3401" s="46" t="s">
        <v>43</v>
      </c>
      <c r="E3401" s="46" t="s">
        <v>883</v>
      </c>
      <c r="F3401" s="46" t="s">
        <v>7819</v>
      </c>
      <c r="G3401" s="46" t="n">
        <f aca="false">+593994188632</f>
        <v>593994188632</v>
      </c>
      <c r="H3401" s="46" t="s">
        <v>7820</v>
      </c>
      <c r="I3401" s="46"/>
      <c r="J3401" s="1"/>
      <c r="K3401" s="1" t="s">
        <v>7821</v>
      </c>
      <c r="L3401" s="1"/>
      <c r="M3401" s="1"/>
      <c r="N3401" s="1"/>
      <c r="O3401" s="1"/>
      <c r="P3401" s="6"/>
      <c r="Q3401" s="1"/>
      <c r="R3401" s="1"/>
      <c r="S3401" s="1"/>
      <c r="T3401" s="1"/>
      <c r="U3401" s="1"/>
      <c r="V3401" s="1"/>
      <c r="W3401" s="1"/>
      <c r="X3401" s="1"/>
      <c r="Y3401" s="1"/>
      <c r="Z3401" s="1"/>
    </row>
    <row r="3402" customFormat="false" ht="21.75" hidden="false" customHeight="true" outlineLevel="0" collapsed="false">
      <c r="A3402" s="4" t="n">
        <v>43509</v>
      </c>
      <c r="B3402" s="46" t="s">
        <v>1114</v>
      </c>
      <c r="C3402" s="46" t="s">
        <v>15</v>
      </c>
      <c r="D3402" s="46" t="s">
        <v>43</v>
      </c>
      <c r="E3402" s="46" t="s">
        <v>883</v>
      </c>
      <c r="F3402" s="46" t="s">
        <v>7822</v>
      </c>
      <c r="G3402" s="46" t="n">
        <f aca="false">+593986552955</f>
        <v>593986552955</v>
      </c>
      <c r="H3402" s="46" t="s">
        <v>7823</v>
      </c>
      <c r="I3402" s="46"/>
      <c r="J3402" s="1"/>
      <c r="K3402" s="1" t="s">
        <v>7619</v>
      </c>
      <c r="L3402" s="1"/>
      <c r="M3402" s="1"/>
      <c r="N3402" s="1"/>
      <c r="O3402" s="1"/>
      <c r="P3402" s="6"/>
      <c r="Q3402" s="1"/>
      <c r="R3402" s="1"/>
      <c r="S3402" s="1"/>
      <c r="T3402" s="1"/>
      <c r="U3402" s="1"/>
      <c r="V3402" s="1"/>
      <c r="W3402" s="1"/>
      <c r="X3402" s="1"/>
      <c r="Y3402" s="1"/>
      <c r="Z3402" s="1"/>
    </row>
    <row r="3403" customFormat="false" ht="21.75" hidden="false" customHeight="true" outlineLevel="0" collapsed="false">
      <c r="A3403" s="4" t="n">
        <v>43509</v>
      </c>
      <c r="B3403" s="46" t="s">
        <v>352</v>
      </c>
      <c r="C3403" s="46" t="s">
        <v>15</v>
      </c>
      <c r="D3403" s="46" t="s">
        <v>43</v>
      </c>
      <c r="E3403" s="46" t="s">
        <v>883</v>
      </c>
      <c r="F3403" s="46" t="s">
        <v>7824</v>
      </c>
      <c r="G3403" s="46" t="n">
        <f aca="false">+593959206327</f>
        <v>593959206327</v>
      </c>
      <c r="H3403" s="46" t="s">
        <v>7825</v>
      </c>
      <c r="I3403" s="46"/>
      <c r="J3403" s="1"/>
      <c r="K3403" s="1" t="s">
        <v>7619</v>
      </c>
      <c r="L3403" s="1"/>
      <c r="M3403" s="1"/>
      <c r="N3403" s="1"/>
      <c r="O3403" s="1"/>
      <c r="P3403" s="6"/>
      <c r="Q3403" s="1"/>
      <c r="R3403" s="1"/>
      <c r="S3403" s="1"/>
      <c r="T3403" s="1"/>
      <c r="U3403" s="1"/>
      <c r="V3403" s="1"/>
      <c r="W3403" s="1"/>
      <c r="X3403" s="1"/>
      <c r="Y3403" s="1"/>
      <c r="Z3403" s="1"/>
    </row>
    <row r="3404" customFormat="false" ht="21.75" hidden="false" customHeight="true" outlineLevel="0" collapsed="false">
      <c r="A3404" s="4" t="n">
        <v>43509</v>
      </c>
      <c r="B3404" s="46" t="s">
        <v>1114</v>
      </c>
      <c r="C3404" s="46" t="s">
        <v>15</v>
      </c>
      <c r="D3404" s="46" t="s">
        <v>43</v>
      </c>
      <c r="E3404" s="46" t="s">
        <v>883</v>
      </c>
      <c r="F3404" s="46" t="s">
        <v>7826</v>
      </c>
      <c r="G3404" s="46" t="n">
        <f aca="false">+593969503617</f>
        <v>593969503617</v>
      </c>
      <c r="H3404" s="46" t="s">
        <v>7827</v>
      </c>
      <c r="I3404" s="46"/>
      <c r="J3404" s="1"/>
      <c r="K3404" s="1" t="s">
        <v>7828</v>
      </c>
      <c r="L3404" s="1"/>
      <c r="M3404" s="1"/>
      <c r="N3404" s="1"/>
      <c r="O3404" s="1"/>
      <c r="P3404" s="6"/>
      <c r="Q3404" s="1"/>
      <c r="R3404" s="1"/>
      <c r="S3404" s="1"/>
      <c r="T3404" s="1"/>
      <c r="U3404" s="1"/>
      <c r="V3404" s="1"/>
      <c r="W3404" s="1"/>
      <c r="X3404" s="1"/>
      <c r="Y3404" s="1"/>
      <c r="Z3404" s="1"/>
    </row>
    <row r="3405" customFormat="false" ht="21.75" hidden="false" customHeight="true" outlineLevel="0" collapsed="false">
      <c r="A3405" s="4" t="n">
        <v>43509</v>
      </c>
      <c r="B3405" s="46" t="s">
        <v>48</v>
      </c>
      <c r="C3405" s="46" t="s">
        <v>15</v>
      </c>
      <c r="D3405" s="46" t="s">
        <v>43</v>
      </c>
      <c r="E3405" s="46" t="s">
        <v>883</v>
      </c>
      <c r="F3405" s="46" t="s">
        <v>7829</v>
      </c>
      <c r="G3405" s="46" t="n">
        <f aca="false">+5930982414583</f>
        <v>5930982414583</v>
      </c>
      <c r="H3405" s="46" t="s">
        <v>7830</v>
      </c>
      <c r="I3405" s="46"/>
      <c r="J3405" s="1"/>
      <c r="K3405" s="1" t="s">
        <v>7619</v>
      </c>
      <c r="L3405" s="1"/>
      <c r="M3405" s="1"/>
      <c r="N3405" s="1"/>
      <c r="O3405" s="1"/>
      <c r="P3405" s="6"/>
      <c r="Q3405" s="1"/>
      <c r="R3405" s="1"/>
      <c r="S3405" s="1"/>
      <c r="T3405" s="1"/>
      <c r="U3405" s="1"/>
      <c r="V3405" s="1"/>
      <c r="W3405" s="1"/>
      <c r="X3405" s="1"/>
      <c r="Y3405" s="1"/>
      <c r="Z3405" s="1"/>
    </row>
    <row r="3406" customFormat="false" ht="21.75" hidden="false" customHeight="true" outlineLevel="0" collapsed="false">
      <c r="A3406" s="4" t="n">
        <v>43509</v>
      </c>
      <c r="B3406" s="46" t="s">
        <v>352</v>
      </c>
      <c r="C3406" s="46" t="s">
        <v>15</v>
      </c>
      <c r="D3406" s="46" t="s">
        <v>43</v>
      </c>
      <c r="E3406" s="46" t="s">
        <v>883</v>
      </c>
      <c r="F3406" s="46" t="s">
        <v>7831</v>
      </c>
      <c r="G3406" s="46" t="n">
        <f aca="false">+593990119175</f>
        <v>593990119175</v>
      </c>
      <c r="H3406" s="46" t="s">
        <v>7832</v>
      </c>
      <c r="I3406" s="46"/>
      <c r="J3406" s="1"/>
      <c r="K3406" s="1" t="s">
        <v>7619</v>
      </c>
      <c r="L3406" s="1"/>
      <c r="M3406" s="1"/>
      <c r="N3406" s="1"/>
      <c r="O3406" s="1"/>
      <c r="P3406" s="6"/>
      <c r="Q3406" s="1"/>
      <c r="R3406" s="1"/>
      <c r="S3406" s="1"/>
      <c r="T3406" s="1"/>
      <c r="U3406" s="1"/>
      <c r="V3406" s="1"/>
      <c r="W3406" s="1"/>
      <c r="X3406" s="1"/>
      <c r="Y3406" s="1"/>
      <c r="Z3406" s="1"/>
    </row>
    <row r="3407" customFormat="false" ht="21.75" hidden="false" customHeight="true" outlineLevel="0" collapsed="false">
      <c r="A3407" s="4" t="n">
        <v>43509</v>
      </c>
      <c r="B3407" s="46" t="s">
        <v>1114</v>
      </c>
      <c r="C3407" s="46" t="s">
        <v>15</v>
      </c>
      <c r="D3407" s="46" t="s">
        <v>43</v>
      </c>
      <c r="E3407" s="46" t="s">
        <v>883</v>
      </c>
      <c r="F3407" s="46" t="s">
        <v>7833</v>
      </c>
      <c r="G3407" s="46" t="n">
        <f aca="false">+593969722911</f>
        <v>593969722911</v>
      </c>
      <c r="H3407" s="46" t="s">
        <v>7834</v>
      </c>
      <c r="I3407" s="46"/>
      <c r="J3407" s="1"/>
      <c r="K3407" s="1" t="s">
        <v>7619</v>
      </c>
      <c r="L3407" s="1"/>
      <c r="M3407" s="1"/>
      <c r="N3407" s="1"/>
      <c r="O3407" s="1"/>
      <c r="P3407" s="6"/>
      <c r="Q3407" s="1"/>
      <c r="R3407" s="1"/>
      <c r="S3407" s="1"/>
      <c r="T3407" s="1"/>
      <c r="U3407" s="1"/>
      <c r="V3407" s="1"/>
      <c r="W3407" s="1"/>
      <c r="X3407" s="1"/>
      <c r="Y3407" s="1"/>
      <c r="Z3407" s="1"/>
    </row>
    <row r="3408" customFormat="false" ht="21.75" hidden="false" customHeight="true" outlineLevel="0" collapsed="false">
      <c r="A3408" s="4" t="n">
        <v>43509</v>
      </c>
      <c r="B3408" s="46" t="s">
        <v>127</v>
      </c>
      <c r="C3408" s="46" t="s">
        <v>26</v>
      </c>
      <c r="D3408" s="46" t="s">
        <v>43</v>
      </c>
      <c r="E3408" s="46" t="s">
        <v>883</v>
      </c>
      <c r="F3408" s="46" t="s">
        <v>7835</v>
      </c>
      <c r="G3408" s="46" t="n">
        <f aca="false">+5930939820240</f>
        <v>5930939820240</v>
      </c>
      <c r="H3408" s="46" t="s">
        <v>7836</v>
      </c>
      <c r="I3408" s="46"/>
      <c r="J3408" s="1"/>
      <c r="K3408" s="1" t="s">
        <v>7619</v>
      </c>
      <c r="L3408" s="1"/>
      <c r="M3408" s="1"/>
      <c r="N3408" s="1"/>
      <c r="O3408" s="1"/>
      <c r="P3408" s="6"/>
      <c r="Q3408" s="1"/>
      <c r="R3408" s="1"/>
      <c r="S3408" s="1"/>
      <c r="T3408" s="1"/>
      <c r="U3408" s="1"/>
      <c r="V3408" s="1"/>
      <c r="W3408" s="1"/>
      <c r="X3408" s="1"/>
      <c r="Y3408" s="1"/>
      <c r="Z3408" s="1"/>
    </row>
    <row r="3409" customFormat="false" ht="21.75" hidden="false" customHeight="true" outlineLevel="0" collapsed="false">
      <c r="A3409" s="4" t="n">
        <v>43509</v>
      </c>
      <c r="B3409" s="46" t="s">
        <v>1114</v>
      </c>
      <c r="C3409" s="46" t="s">
        <v>15</v>
      </c>
      <c r="D3409" s="46" t="s">
        <v>43</v>
      </c>
      <c r="E3409" s="46" t="s">
        <v>883</v>
      </c>
      <c r="F3409" s="46" t="s">
        <v>7837</v>
      </c>
      <c r="G3409" s="46" t="n">
        <f aca="false">+5930993640492</f>
        <v>5930993640492</v>
      </c>
      <c r="H3409" s="46" t="s">
        <v>7838</v>
      </c>
      <c r="I3409" s="46"/>
      <c r="J3409" s="1"/>
      <c r="K3409" s="1" t="s">
        <v>7828</v>
      </c>
      <c r="L3409" s="1"/>
      <c r="M3409" s="1"/>
      <c r="N3409" s="1"/>
      <c r="O3409" s="1"/>
      <c r="P3409" s="6"/>
      <c r="Q3409" s="1"/>
      <c r="R3409" s="1"/>
      <c r="S3409" s="1"/>
      <c r="T3409" s="1"/>
      <c r="U3409" s="1"/>
      <c r="V3409" s="1"/>
      <c r="W3409" s="1"/>
      <c r="X3409" s="1"/>
      <c r="Y3409" s="1"/>
      <c r="Z3409" s="1"/>
    </row>
    <row r="3410" customFormat="false" ht="21.75" hidden="false" customHeight="true" outlineLevel="0" collapsed="false">
      <c r="A3410" s="4" t="n">
        <v>43509</v>
      </c>
      <c r="B3410" s="46" t="s">
        <v>48</v>
      </c>
      <c r="C3410" s="46" t="s">
        <v>26</v>
      </c>
      <c r="D3410" s="46" t="s">
        <v>43</v>
      </c>
      <c r="E3410" s="46" t="s">
        <v>109</v>
      </c>
      <c r="F3410" s="46" t="s">
        <v>7839</v>
      </c>
      <c r="G3410" s="46" t="n">
        <f aca="false">+593991767106</f>
        <v>593991767106</v>
      </c>
      <c r="H3410" s="46" t="s">
        <v>7840</v>
      </c>
      <c r="I3410" s="46"/>
      <c r="J3410" s="1"/>
      <c r="K3410" s="1" t="s">
        <v>21</v>
      </c>
      <c r="L3410" s="1"/>
      <c r="M3410" s="1"/>
      <c r="N3410" s="1"/>
      <c r="O3410" s="1"/>
      <c r="P3410" s="6"/>
      <c r="Q3410" s="1"/>
      <c r="R3410" s="1"/>
      <c r="S3410" s="1"/>
      <c r="T3410" s="1"/>
      <c r="U3410" s="1"/>
      <c r="V3410" s="1"/>
      <c r="W3410" s="1"/>
      <c r="X3410" s="1"/>
      <c r="Y3410" s="1"/>
      <c r="Z3410" s="1"/>
    </row>
    <row r="3411" customFormat="false" ht="21.75" hidden="false" customHeight="true" outlineLevel="0" collapsed="false">
      <c r="A3411" s="4" t="n">
        <v>43509</v>
      </c>
      <c r="B3411" s="46" t="s">
        <v>323</v>
      </c>
      <c r="C3411" s="46" t="s">
        <v>15</v>
      </c>
      <c r="D3411" s="46" t="s">
        <v>43</v>
      </c>
      <c r="E3411" s="46" t="s">
        <v>109</v>
      </c>
      <c r="F3411" s="46" t="s">
        <v>7841</v>
      </c>
      <c r="G3411" s="46" t="n">
        <f aca="false">+5930993104645</f>
        <v>5930993104645</v>
      </c>
      <c r="H3411" s="46" t="s">
        <v>7842</v>
      </c>
      <c r="I3411" s="46"/>
      <c r="J3411" s="1"/>
      <c r="K3411" s="1" t="s">
        <v>7619</v>
      </c>
      <c r="L3411" s="1"/>
      <c r="M3411" s="1"/>
      <c r="N3411" s="1"/>
      <c r="O3411" s="1"/>
      <c r="P3411" s="6"/>
      <c r="Q3411" s="1"/>
      <c r="R3411" s="1"/>
      <c r="S3411" s="1"/>
      <c r="T3411" s="1"/>
      <c r="U3411" s="1"/>
      <c r="V3411" s="1"/>
      <c r="W3411" s="1"/>
      <c r="X3411" s="1"/>
      <c r="Y3411" s="1"/>
      <c r="Z3411" s="1"/>
    </row>
    <row r="3412" customFormat="false" ht="21.75" hidden="false" customHeight="true" outlineLevel="0" collapsed="false">
      <c r="A3412" s="4" t="n">
        <v>43509</v>
      </c>
      <c r="B3412" s="46" t="s">
        <v>48</v>
      </c>
      <c r="C3412" s="46" t="s">
        <v>15</v>
      </c>
      <c r="D3412" s="46" t="s">
        <v>43</v>
      </c>
      <c r="E3412" s="46" t="s">
        <v>109</v>
      </c>
      <c r="F3412" s="46" t="s">
        <v>7843</v>
      </c>
      <c r="G3412" s="46" t="n">
        <f aca="false">+5930985024031</f>
        <v>5930985024031</v>
      </c>
      <c r="H3412" s="46" t="s">
        <v>7844</v>
      </c>
      <c r="I3412" s="46"/>
      <c r="J3412" s="1"/>
      <c r="K3412" s="1" t="s">
        <v>428</v>
      </c>
      <c r="L3412" s="1"/>
      <c r="M3412" s="1"/>
      <c r="N3412" s="1"/>
      <c r="O3412" s="1"/>
      <c r="P3412" s="6"/>
      <c r="Q3412" s="1"/>
      <c r="R3412" s="1"/>
      <c r="S3412" s="1"/>
      <c r="T3412" s="1"/>
      <c r="U3412" s="1"/>
      <c r="V3412" s="1"/>
      <c r="W3412" s="1"/>
      <c r="X3412" s="1"/>
      <c r="Y3412" s="1"/>
      <c r="Z3412" s="1"/>
    </row>
    <row r="3413" customFormat="false" ht="21.75" hidden="false" customHeight="true" outlineLevel="0" collapsed="false">
      <c r="A3413" s="4" t="n">
        <v>43509</v>
      </c>
      <c r="B3413" s="46" t="s">
        <v>1478</v>
      </c>
      <c r="C3413" s="46" t="s">
        <v>15</v>
      </c>
      <c r="D3413" s="46" t="s">
        <v>43</v>
      </c>
      <c r="E3413" s="46" t="s">
        <v>109</v>
      </c>
      <c r="F3413" s="46" t="s">
        <v>7845</v>
      </c>
      <c r="G3413" s="46" t="n">
        <f aca="false">+593968366072</f>
        <v>593968366072</v>
      </c>
      <c r="H3413" s="46" t="s">
        <v>7846</v>
      </c>
      <c r="I3413" s="46"/>
      <c r="J3413" s="1"/>
      <c r="K3413" s="1" t="s">
        <v>7619</v>
      </c>
      <c r="L3413" s="1"/>
      <c r="M3413" s="1"/>
      <c r="N3413" s="1"/>
      <c r="O3413" s="1"/>
      <c r="P3413" s="6"/>
      <c r="Q3413" s="1"/>
      <c r="R3413" s="1"/>
      <c r="S3413" s="1"/>
      <c r="T3413" s="1"/>
      <c r="U3413" s="1"/>
      <c r="V3413" s="1"/>
      <c r="W3413" s="1"/>
      <c r="X3413" s="1"/>
      <c r="Y3413" s="1"/>
      <c r="Z3413" s="1"/>
    </row>
    <row r="3414" customFormat="false" ht="21.75" hidden="false" customHeight="true" outlineLevel="0" collapsed="false">
      <c r="A3414" s="4" t="n">
        <v>43509</v>
      </c>
      <c r="B3414" s="46" t="s">
        <v>1114</v>
      </c>
      <c r="C3414" s="46" t="s">
        <v>15</v>
      </c>
      <c r="D3414" s="46" t="s">
        <v>43</v>
      </c>
      <c r="E3414" s="46" t="s">
        <v>109</v>
      </c>
      <c r="F3414" s="46" t="s">
        <v>7847</v>
      </c>
      <c r="G3414" s="46" t="n">
        <f aca="false">+593980067022</f>
        <v>593980067022</v>
      </c>
      <c r="H3414" s="46" t="s">
        <v>7848</v>
      </c>
      <c r="I3414" s="46"/>
      <c r="J3414" s="1"/>
      <c r="K3414" s="1" t="s">
        <v>7828</v>
      </c>
      <c r="L3414" s="1"/>
      <c r="M3414" s="1"/>
      <c r="N3414" s="1"/>
      <c r="O3414" s="1"/>
      <c r="P3414" s="6"/>
      <c r="Q3414" s="1"/>
      <c r="R3414" s="1"/>
      <c r="S3414" s="1"/>
      <c r="T3414" s="1"/>
      <c r="U3414" s="1"/>
      <c r="V3414" s="1"/>
      <c r="W3414" s="1"/>
      <c r="X3414" s="1"/>
      <c r="Y3414" s="1"/>
      <c r="Z3414" s="1"/>
    </row>
    <row r="3415" customFormat="false" ht="21.75" hidden="false" customHeight="true" outlineLevel="0" collapsed="false">
      <c r="A3415" s="4" t="n">
        <v>43509</v>
      </c>
      <c r="B3415" s="46" t="s">
        <v>415</v>
      </c>
      <c r="C3415" s="46" t="s">
        <v>15</v>
      </c>
      <c r="D3415" s="46" t="s">
        <v>43</v>
      </c>
      <c r="E3415" s="46" t="s">
        <v>109</v>
      </c>
      <c r="F3415" s="46" t="s">
        <v>7849</v>
      </c>
      <c r="G3415" s="46" t="n">
        <f aca="false">+593998513469</f>
        <v>593998513469</v>
      </c>
      <c r="H3415" s="46" t="s">
        <v>7850</v>
      </c>
      <c r="I3415" s="46"/>
      <c r="J3415" s="1"/>
      <c r="K3415" s="1" t="s">
        <v>7619</v>
      </c>
      <c r="L3415" s="1"/>
      <c r="M3415" s="1"/>
      <c r="N3415" s="1"/>
      <c r="O3415" s="1"/>
      <c r="P3415" s="6"/>
      <c r="Q3415" s="1"/>
      <c r="R3415" s="1"/>
      <c r="S3415" s="1"/>
      <c r="T3415" s="1"/>
      <c r="U3415" s="1"/>
      <c r="V3415" s="1"/>
      <c r="W3415" s="1"/>
      <c r="X3415" s="1"/>
      <c r="Y3415" s="1"/>
      <c r="Z3415" s="1"/>
    </row>
    <row r="3416" customFormat="false" ht="21.75" hidden="false" customHeight="true" outlineLevel="0" collapsed="false">
      <c r="A3416" s="4" t="n">
        <v>43509</v>
      </c>
      <c r="B3416" s="46" t="s">
        <v>415</v>
      </c>
      <c r="C3416" s="46" t="s">
        <v>15</v>
      </c>
      <c r="D3416" s="46" t="s">
        <v>43</v>
      </c>
      <c r="E3416" s="46" t="s">
        <v>109</v>
      </c>
      <c r="F3416" s="46" t="s">
        <v>7851</v>
      </c>
      <c r="G3416" s="46" t="n">
        <f aca="false">+593989302322</f>
        <v>593989302322</v>
      </c>
      <c r="H3416" s="46" t="s">
        <v>7852</v>
      </c>
      <c r="I3416" s="46"/>
      <c r="J3416" s="1"/>
      <c r="K3416" s="1" t="s">
        <v>7853</v>
      </c>
      <c r="L3416" s="1"/>
      <c r="M3416" s="1"/>
      <c r="N3416" s="1"/>
      <c r="O3416" s="1"/>
      <c r="P3416" s="6"/>
      <c r="Q3416" s="1"/>
      <c r="R3416" s="1"/>
      <c r="S3416" s="1"/>
      <c r="T3416" s="1"/>
      <c r="U3416" s="1"/>
      <c r="V3416" s="1"/>
      <c r="W3416" s="1"/>
      <c r="X3416" s="1"/>
      <c r="Y3416" s="1"/>
      <c r="Z3416" s="1"/>
    </row>
    <row r="3417" customFormat="false" ht="21.75" hidden="false" customHeight="true" outlineLevel="0" collapsed="false">
      <c r="A3417" s="4" t="n">
        <v>43509</v>
      </c>
      <c r="B3417" s="46" t="s">
        <v>48</v>
      </c>
      <c r="C3417" s="46" t="s">
        <v>15</v>
      </c>
      <c r="D3417" s="46" t="s">
        <v>43</v>
      </c>
      <c r="E3417" s="46" t="s">
        <v>109</v>
      </c>
      <c r="F3417" s="46" t="s">
        <v>7854</v>
      </c>
      <c r="G3417" s="46" t="n">
        <f aca="false">+593969388848</f>
        <v>593969388848</v>
      </c>
      <c r="H3417" s="46" t="s">
        <v>7855</v>
      </c>
      <c r="I3417" s="46"/>
      <c r="J3417" s="1"/>
      <c r="K3417" s="1" t="s">
        <v>7619</v>
      </c>
      <c r="L3417" s="1"/>
      <c r="M3417" s="1"/>
      <c r="N3417" s="1"/>
      <c r="O3417" s="1"/>
      <c r="P3417" s="6"/>
      <c r="Q3417" s="1"/>
      <c r="R3417" s="1"/>
      <c r="S3417" s="1"/>
      <c r="T3417" s="1"/>
      <c r="U3417" s="1"/>
      <c r="V3417" s="1"/>
      <c r="W3417" s="1"/>
      <c r="X3417" s="1"/>
      <c r="Y3417" s="1"/>
      <c r="Z3417" s="1"/>
    </row>
    <row r="3418" customFormat="false" ht="21.75" hidden="false" customHeight="true" outlineLevel="0" collapsed="false">
      <c r="A3418" s="4" t="n">
        <v>43509</v>
      </c>
      <c r="B3418" s="46" t="s">
        <v>352</v>
      </c>
      <c r="C3418" s="46" t="s">
        <v>15</v>
      </c>
      <c r="D3418" s="46" t="s">
        <v>43</v>
      </c>
      <c r="E3418" s="46" t="s">
        <v>109</v>
      </c>
      <c r="F3418" s="46" t="s">
        <v>7856</v>
      </c>
      <c r="G3418" s="46" t="n">
        <f aca="false">+593939439777</f>
        <v>593939439777</v>
      </c>
      <c r="H3418" s="46" t="s">
        <v>7857</v>
      </c>
      <c r="I3418" s="46"/>
      <c r="J3418" s="1"/>
      <c r="K3418" s="1" t="s">
        <v>6342</v>
      </c>
      <c r="L3418" s="1"/>
      <c r="M3418" s="1"/>
      <c r="N3418" s="1"/>
      <c r="O3418" s="1"/>
      <c r="P3418" s="6"/>
      <c r="Q3418" s="1"/>
      <c r="R3418" s="1"/>
      <c r="S3418" s="1"/>
      <c r="T3418" s="1"/>
      <c r="U3418" s="1"/>
      <c r="V3418" s="1"/>
      <c r="W3418" s="1"/>
      <c r="X3418" s="1"/>
      <c r="Y3418" s="1"/>
      <c r="Z3418" s="1"/>
    </row>
    <row r="3419" customFormat="false" ht="21.75" hidden="false" customHeight="true" outlineLevel="0" collapsed="false">
      <c r="A3419" s="4" t="n">
        <v>43509</v>
      </c>
      <c r="B3419" s="46" t="s">
        <v>127</v>
      </c>
      <c r="C3419" s="46" t="s">
        <v>15</v>
      </c>
      <c r="D3419" s="46" t="s">
        <v>43</v>
      </c>
      <c r="E3419" s="46" t="s">
        <v>109</v>
      </c>
      <c r="F3419" s="46" t="s">
        <v>7858</v>
      </c>
      <c r="G3419" s="46" t="n">
        <f aca="false">+593987158837</f>
        <v>593987158837</v>
      </c>
      <c r="H3419" s="46" t="s">
        <v>7859</v>
      </c>
      <c r="I3419" s="46"/>
      <c r="J3419" s="1"/>
      <c r="K3419" s="1" t="s">
        <v>7619</v>
      </c>
      <c r="L3419" s="1"/>
      <c r="M3419" s="1"/>
      <c r="N3419" s="1"/>
      <c r="O3419" s="1"/>
      <c r="P3419" s="6"/>
      <c r="Q3419" s="1"/>
      <c r="R3419" s="1"/>
      <c r="S3419" s="1"/>
      <c r="T3419" s="1"/>
      <c r="U3419" s="1"/>
      <c r="V3419" s="1"/>
      <c r="W3419" s="1"/>
      <c r="X3419" s="1"/>
      <c r="Y3419" s="1"/>
      <c r="Z3419" s="1"/>
    </row>
    <row r="3420" customFormat="false" ht="21.75" hidden="false" customHeight="true" outlineLevel="0" collapsed="false">
      <c r="A3420" s="4" t="n">
        <v>43509</v>
      </c>
      <c r="B3420" s="46" t="s">
        <v>532</v>
      </c>
      <c r="C3420" s="46" t="s">
        <v>15</v>
      </c>
      <c r="D3420" s="46" t="s">
        <v>43</v>
      </c>
      <c r="E3420" s="46" t="s">
        <v>109</v>
      </c>
      <c r="F3420" s="46" t="s">
        <v>7860</v>
      </c>
      <c r="G3420" s="57" t="n">
        <v>989446745</v>
      </c>
      <c r="H3420" s="46" t="s">
        <v>7861</v>
      </c>
      <c r="I3420" s="46"/>
      <c r="J3420" s="1"/>
      <c r="K3420" s="1" t="s">
        <v>7619</v>
      </c>
      <c r="L3420" s="1"/>
      <c r="M3420" s="1"/>
      <c r="N3420" s="1"/>
      <c r="O3420" s="1"/>
      <c r="P3420" s="6"/>
      <c r="Q3420" s="1"/>
      <c r="R3420" s="1"/>
      <c r="S3420" s="1"/>
      <c r="T3420" s="1"/>
      <c r="U3420" s="1"/>
      <c r="V3420" s="1"/>
      <c r="W3420" s="1"/>
      <c r="X3420" s="1"/>
      <c r="Y3420" s="1"/>
      <c r="Z3420" s="1"/>
    </row>
    <row r="3421" customFormat="false" ht="21.75" hidden="false" customHeight="true" outlineLevel="0" collapsed="false">
      <c r="A3421" s="4" t="n">
        <v>43509</v>
      </c>
      <c r="B3421" s="46" t="s">
        <v>352</v>
      </c>
      <c r="C3421" s="46" t="s">
        <v>15</v>
      </c>
      <c r="D3421" s="46" t="s">
        <v>43</v>
      </c>
      <c r="E3421" s="46" t="s">
        <v>109</v>
      </c>
      <c r="F3421" s="46" t="s">
        <v>7862</v>
      </c>
      <c r="G3421" s="46" t="n">
        <f aca="false">+593988874436</f>
        <v>593988874436</v>
      </c>
      <c r="H3421" s="46" t="s">
        <v>7863</v>
      </c>
      <c r="I3421" s="46"/>
      <c r="J3421" s="1"/>
      <c r="K3421" s="1" t="s">
        <v>7828</v>
      </c>
      <c r="L3421" s="1"/>
      <c r="M3421" s="1"/>
      <c r="N3421" s="1"/>
      <c r="O3421" s="1"/>
      <c r="P3421" s="6"/>
      <c r="Q3421" s="1"/>
      <c r="R3421" s="1"/>
      <c r="S3421" s="1"/>
      <c r="T3421" s="1"/>
      <c r="U3421" s="1"/>
      <c r="V3421" s="1"/>
      <c r="W3421" s="1"/>
      <c r="X3421" s="1"/>
      <c r="Y3421" s="1"/>
      <c r="Z3421" s="1"/>
    </row>
    <row r="3422" customFormat="false" ht="21.75" hidden="false" customHeight="true" outlineLevel="0" collapsed="false">
      <c r="A3422" s="4" t="n">
        <v>43509</v>
      </c>
      <c r="B3422" s="46" t="s">
        <v>352</v>
      </c>
      <c r="C3422" s="46" t="s">
        <v>15</v>
      </c>
      <c r="D3422" s="46" t="s">
        <v>43</v>
      </c>
      <c r="E3422" s="46" t="s">
        <v>109</v>
      </c>
      <c r="F3422" s="46" t="s">
        <v>7864</v>
      </c>
      <c r="G3422" s="46" t="n">
        <f aca="false">+5930986091567</f>
        <v>5930986091567</v>
      </c>
      <c r="H3422" s="46" t="s">
        <v>7865</v>
      </c>
      <c r="I3422" s="46"/>
      <c r="J3422" s="1"/>
      <c r="K3422" s="1" t="s">
        <v>7828</v>
      </c>
      <c r="L3422" s="1"/>
      <c r="M3422" s="1"/>
      <c r="N3422" s="1"/>
      <c r="O3422" s="1"/>
      <c r="P3422" s="6"/>
      <c r="Q3422" s="1"/>
      <c r="R3422" s="1"/>
      <c r="S3422" s="1"/>
      <c r="T3422" s="1"/>
      <c r="U3422" s="1"/>
      <c r="V3422" s="1"/>
      <c r="W3422" s="1"/>
      <c r="X3422" s="1"/>
      <c r="Y3422" s="1"/>
      <c r="Z3422" s="1"/>
    </row>
    <row r="3423" customFormat="false" ht="21.75" hidden="false" customHeight="true" outlineLevel="0" collapsed="false">
      <c r="A3423" s="4" t="n">
        <v>43509</v>
      </c>
      <c r="B3423" s="46" t="s">
        <v>42</v>
      </c>
      <c r="C3423" s="46" t="s">
        <v>15</v>
      </c>
      <c r="D3423" s="46" t="s">
        <v>43</v>
      </c>
      <c r="E3423" s="46" t="s">
        <v>109</v>
      </c>
      <c r="F3423" s="46" t="s">
        <v>7866</v>
      </c>
      <c r="G3423" s="46" t="n">
        <f aca="false">+593982409726</f>
        <v>593982409726</v>
      </c>
      <c r="H3423" s="46" t="s">
        <v>7867</v>
      </c>
      <c r="I3423" s="46"/>
      <c r="J3423" s="1"/>
      <c r="K3423" s="1" t="s">
        <v>7377</v>
      </c>
      <c r="L3423" s="1"/>
      <c r="M3423" s="1"/>
      <c r="N3423" s="1"/>
      <c r="O3423" s="1"/>
      <c r="P3423" s="6"/>
      <c r="Q3423" s="1"/>
      <c r="R3423" s="1"/>
      <c r="S3423" s="1"/>
      <c r="T3423" s="1"/>
      <c r="U3423" s="1"/>
      <c r="V3423" s="1"/>
      <c r="W3423" s="1"/>
      <c r="X3423" s="1"/>
      <c r="Y3423" s="1"/>
      <c r="Z3423" s="1"/>
    </row>
    <row r="3424" customFormat="false" ht="21.75" hidden="false" customHeight="true" outlineLevel="0" collapsed="false">
      <c r="A3424" s="4" t="n">
        <v>43509</v>
      </c>
      <c r="B3424" s="46" t="s">
        <v>127</v>
      </c>
      <c r="C3424" s="46" t="s">
        <v>15</v>
      </c>
      <c r="D3424" s="46" t="s">
        <v>43</v>
      </c>
      <c r="E3424" s="46" t="s">
        <v>109</v>
      </c>
      <c r="F3424" s="46" t="s">
        <v>7868</v>
      </c>
      <c r="G3424" s="46" t="n">
        <f aca="false">+5930968506118</f>
        <v>5930968506118</v>
      </c>
      <c r="H3424" s="46" t="s">
        <v>7869</v>
      </c>
      <c r="I3424" s="46"/>
      <c r="J3424" s="1"/>
      <c r="K3424" s="1" t="s">
        <v>7619</v>
      </c>
      <c r="L3424" s="1"/>
      <c r="M3424" s="1"/>
      <c r="N3424" s="1"/>
      <c r="O3424" s="1"/>
      <c r="P3424" s="6"/>
      <c r="Q3424" s="1"/>
      <c r="R3424" s="1"/>
      <c r="S3424" s="1"/>
      <c r="T3424" s="1"/>
      <c r="U3424" s="1"/>
      <c r="V3424" s="1"/>
      <c r="W3424" s="1"/>
      <c r="X3424" s="1"/>
      <c r="Y3424" s="1"/>
      <c r="Z3424" s="1"/>
    </row>
    <row r="3425" customFormat="false" ht="21.75" hidden="false" customHeight="true" outlineLevel="0" collapsed="false">
      <c r="A3425" s="4" t="n">
        <v>43509</v>
      </c>
      <c r="B3425" s="46" t="s">
        <v>1478</v>
      </c>
      <c r="C3425" s="46" t="s">
        <v>15</v>
      </c>
      <c r="D3425" s="46" t="s">
        <v>43</v>
      </c>
      <c r="E3425" s="46" t="s">
        <v>109</v>
      </c>
      <c r="F3425" s="46" t="s">
        <v>7870</v>
      </c>
      <c r="G3425" s="46" t="n">
        <f aca="false">+593981848150</f>
        <v>593981848150</v>
      </c>
      <c r="H3425" s="46" t="s">
        <v>7871</v>
      </c>
      <c r="I3425" s="46"/>
      <c r="J3425" s="1"/>
      <c r="K3425" s="1" t="s">
        <v>7619</v>
      </c>
      <c r="L3425" s="1"/>
      <c r="M3425" s="1"/>
      <c r="N3425" s="1"/>
      <c r="O3425" s="1"/>
      <c r="P3425" s="6"/>
      <c r="Q3425" s="1"/>
      <c r="R3425" s="1"/>
      <c r="S3425" s="1"/>
      <c r="T3425" s="1"/>
      <c r="U3425" s="1"/>
      <c r="V3425" s="1"/>
      <c r="W3425" s="1"/>
      <c r="X3425" s="1"/>
      <c r="Y3425" s="1"/>
      <c r="Z3425" s="1"/>
    </row>
    <row r="3426" customFormat="false" ht="21.75" hidden="false" customHeight="true" outlineLevel="0" collapsed="false">
      <c r="A3426" s="4" t="n">
        <v>43509</v>
      </c>
      <c r="B3426" s="46" t="s">
        <v>323</v>
      </c>
      <c r="C3426" s="46" t="s">
        <v>15</v>
      </c>
      <c r="D3426" s="46" t="s">
        <v>43</v>
      </c>
      <c r="E3426" s="46" t="s">
        <v>109</v>
      </c>
      <c r="F3426" s="46" t="s">
        <v>7872</v>
      </c>
      <c r="G3426" s="46" t="n">
        <f aca="false">+5930982327475</f>
        <v>5930982327475</v>
      </c>
      <c r="H3426" s="46" t="s">
        <v>7873</v>
      </c>
      <c r="I3426" s="46"/>
      <c r="J3426" s="1"/>
      <c r="K3426" s="1" t="s">
        <v>7619</v>
      </c>
      <c r="L3426" s="1"/>
      <c r="M3426" s="1"/>
      <c r="N3426" s="1"/>
      <c r="O3426" s="1"/>
      <c r="P3426" s="6"/>
      <c r="Q3426" s="1"/>
      <c r="R3426" s="1"/>
      <c r="S3426" s="1"/>
      <c r="T3426" s="1"/>
      <c r="U3426" s="1"/>
      <c r="V3426" s="1"/>
      <c r="W3426" s="1"/>
      <c r="X3426" s="1"/>
      <c r="Y3426" s="1"/>
      <c r="Z3426" s="1"/>
    </row>
    <row r="3427" customFormat="false" ht="21.75" hidden="false" customHeight="true" outlineLevel="0" collapsed="false">
      <c r="A3427" s="4" t="n">
        <v>43509</v>
      </c>
      <c r="B3427" s="46" t="s">
        <v>1478</v>
      </c>
      <c r="C3427" s="46" t="s">
        <v>15</v>
      </c>
      <c r="D3427" s="46" t="s">
        <v>43</v>
      </c>
      <c r="E3427" s="46" t="s">
        <v>109</v>
      </c>
      <c r="F3427" s="46" t="s">
        <v>7874</v>
      </c>
      <c r="G3427" s="46" t="n">
        <f aca="false">+593991590056</f>
        <v>593991590056</v>
      </c>
      <c r="H3427" s="46" t="s">
        <v>7875</v>
      </c>
      <c r="I3427" s="46"/>
      <c r="J3427" s="1"/>
      <c r="K3427" s="1" t="s">
        <v>7619</v>
      </c>
      <c r="L3427" s="1"/>
      <c r="M3427" s="1"/>
      <c r="N3427" s="1"/>
      <c r="O3427" s="1"/>
      <c r="P3427" s="6"/>
      <c r="Q3427" s="1"/>
      <c r="R3427" s="1"/>
      <c r="S3427" s="1"/>
      <c r="T3427" s="1"/>
      <c r="U3427" s="1"/>
      <c r="V3427" s="1"/>
      <c r="W3427" s="1"/>
      <c r="X3427" s="1"/>
      <c r="Y3427" s="1"/>
      <c r="Z3427" s="1"/>
    </row>
    <row r="3428" customFormat="false" ht="21.75" hidden="false" customHeight="true" outlineLevel="0" collapsed="false">
      <c r="A3428" s="4" t="n">
        <v>43509</v>
      </c>
      <c r="B3428" s="46" t="s">
        <v>532</v>
      </c>
      <c r="C3428" s="46" t="s">
        <v>15</v>
      </c>
      <c r="D3428" s="46" t="s">
        <v>43</v>
      </c>
      <c r="E3428" s="46" t="s">
        <v>109</v>
      </c>
      <c r="F3428" s="46" t="s">
        <v>7876</v>
      </c>
      <c r="G3428" s="46" t="n">
        <f aca="false">+593967415632</f>
        <v>593967415632</v>
      </c>
      <c r="H3428" s="46" t="s">
        <v>7877</v>
      </c>
      <c r="I3428" s="46"/>
      <c r="J3428" s="1"/>
      <c r="K3428" s="1" t="s">
        <v>7619</v>
      </c>
      <c r="L3428" s="1"/>
      <c r="M3428" s="1"/>
      <c r="N3428" s="1"/>
      <c r="O3428" s="1"/>
      <c r="P3428" s="6"/>
      <c r="Q3428" s="1"/>
      <c r="R3428" s="1"/>
      <c r="S3428" s="1"/>
      <c r="T3428" s="1"/>
      <c r="U3428" s="1"/>
      <c r="V3428" s="1"/>
      <c r="W3428" s="1"/>
      <c r="X3428" s="1"/>
      <c r="Y3428" s="1"/>
      <c r="Z3428" s="1"/>
    </row>
    <row r="3429" customFormat="false" ht="21.75" hidden="false" customHeight="true" outlineLevel="0" collapsed="false">
      <c r="A3429" s="4" t="n">
        <v>43509</v>
      </c>
      <c r="B3429" s="46" t="s">
        <v>1106</v>
      </c>
      <c r="C3429" s="46" t="s">
        <v>15</v>
      </c>
      <c r="D3429" s="46" t="s">
        <v>43</v>
      </c>
      <c r="E3429" s="46" t="s">
        <v>109</v>
      </c>
      <c r="F3429" s="46" t="s">
        <v>7878</v>
      </c>
      <c r="G3429" s="46" t="n">
        <f aca="false">+593969926100</f>
        <v>593969926100</v>
      </c>
      <c r="H3429" s="46" t="s">
        <v>7879</v>
      </c>
      <c r="I3429" s="46"/>
      <c r="J3429" s="1"/>
      <c r="K3429" s="1" t="s">
        <v>7619</v>
      </c>
      <c r="L3429" s="1"/>
      <c r="M3429" s="1"/>
      <c r="N3429" s="1"/>
      <c r="O3429" s="1"/>
      <c r="P3429" s="6"/>
      <c r="Q3429" s="1"/>
      <c r="R3429" s="1"/>
      <c r="S3429" s="1"/>
      <c r="T3429" s="1"/>
      <c r="U3429" s="1"/>
      <c r="V3429" s="1"/>
      <c r="W3429" s="1"/>
      <c r="X3429" s="1"/>
      <c r="Y3429" s="1"/>
      <c r="Z3429" s="1"/>
    </row>
    <row r="3430" customFormat="false" ht="21.75" hidden="false" customHeight="true" outlineLevel="0" collapsed="false">
      <c r="A3430" s="4" t="n">
        <v>43509</v>
      </c>
      <c r="B3430" s="46" t="s">
        <v>1114</v>
      </c>
      <c r="C3430" s="46" t="s">
        <v>26</v>
      </c>
      <c r="D3430" s="46" t="s">
        <v>43</v>
      </c>
      <c r="E3430" s="46" t="s">
        <v>109</v>
      </c>
      <c r="F3430" s="46" t="s">
        <v>7880</v>
      </c>
      <c r="G3430" s="46" t="n">
        <f aca="false">+593969260333</f>
        <v>593969260333</v>
      </c>
      <c r="H3430" s="46" t="s">
        <v>7881</v>
      </c>
      <c r="I3430" s="46"/>
      <c r="J3430" s="1"/>
      <c r="K3430" s="1" t="s">
        <v>7853</v>
      </c>
      <c r="L3430" s="1"/>
      <c r="M3430" s="1"/>
      <c r="N3430" s="1"/>
      <c r="O3430" s="1"/>
      <c r="P3430" s="6"/>
      <c r="Q3430" s="1"/>
      <c r="R3430" s="1"/>
      <c r="S3430" s="1"/>
      <c r="T3430" s="1"/>
      <c r="U3430" s="1"/>
      <c r="V3430" s="1"/>
      <c r="W3430" s="1"/>
      <c r="X3430" s="1"/>
      <c r="Y3430" s="1"/>
      <c r="Z3430" s="1"/>
    </row>
    <row r="3431" customFormat="false" ht="21.75" hidden="false" customHeight="true" outlineLevel="0" collapsed="false">
      <c r="A3431" s="4" t="n">
        <v>43509</v>
      </c>
      <c r="B3431" s="46" t="s">
        <v>352</v>
      </c>
      <c r="C3431" s="46" t="s">
        <v>15</v>
      </c>
      <c r="D3431" s="46" t="s">
        <v>43</v>
      </c>
      <c r="E3431" s="46" t="s">
        <v>109</v>
      </c>
      <c r="F3431" s="46" t="s">
        <v>7882</v>
      </c>
      <c r="G3431" s="46" t="n">
        <f aca="false">+593981737251</f>
        <v>593981737251</v>
      </c>
      <c r="H3431" s="46" t="s">
        <v>7883</v>
      </c>
      <c r="I3431" s="46"/>
      <c r="J3431" s="1"/>
      <c r="K3431" s="1" t="s">
        <v>7619</v>
      </c>
      <c r="L3431" s="1"/>
      <c r="M3431" s="1"/>
      <c r="N3431" s="1"/>
      <c r="O3431" s="1"/>
      <c r="P3431" s="6"/>
      <c r="Q3431" s="1"/>
      <c r="R3431" s="1"/>
      <c r="S3431" s="1"/>
      <c r="T3431" s="1"/>
      <c r="U3431" s="1"/>
      <c r="V3431" s="1"/>
      <c r="W3431" s="1"/>
      <c r="X3431" s="1"/>
      <c r="Y3431" s="1"/>
      <c r="Z3431" s="1"/>
    </row>
    <row r="3432" customFormat="false" ht="21.75" hidden="false" customHeight="true" outlineLevel="0" collapsed="false">
      <c r="A3432" s="4" t="n">
        <v>43509</v>
      </c>
      <c r="B3432" s="46" t="s">
        <v>1106</v>
      </c>
      <c r="C3432" s="46" t="s">
        <v>15</v>
      </c>
      <c r="D3432" s="46" t="s">
        <v>43</v>
      </c>
      <c r="E3432" s="46" t="s">
        <v>109</v>
      </c>
      <c r="F3432" s="46" t="s">
        <v>7884</v>
      </c>
      <c r="G3432" s="46" t="n">
        <f aca="false">+593979404295</f>
        <v>593979404295</v>
      </c>
      <c r="H3432" s="46" t="s">
        <v>7885</v>
      </c>
      <c r="I3432" s="46"/>
      <c r="J3432" s="1"/>
      <c r="K3432" s="1" t="s">
        <v>7761</v>
      </c>
      <c r="L3432" s="1"/>
      <c r="M3432" s="1"/>
      <c r="N3432" s="1"/>
      <c r="O3432" s="1"/>
      <c r="P3432" s="6"/>
      <c r="Q3432" s="1"/>
      <c r="R3432" s="1"/>
      <c r="S3432" s="1"/>
      <c r="T3432" s="1"/>
      <c r="U3432" s="1"/>
      <c r="V3432" s="1"/>
      <c r="W3432" s="1"/>
      <c r="X3432" s="1"/>
      <c r="Y3432" s="1"/>
      <c r="Z3432" s="1"/>
    </row>
    <row r="3433" customFormat="false" ht="21.75" hidden="false" customHeight="true" outlineLevel="0" collapsed="false">
      <c r="A3433" s="4" t="n">
        <v>43509</v>
      </c>
      <c r="B3433" s="46" t="s">
        <v>323</v>
      </c>
      <c r="C3433" s="46" t="s">
        <v>15</v>
      </c>
      <c r="D3433" s="46" t="s">
        <v>43</v>
      </c>
      <c r="E3433" s="46" t="s">
        <v>109</v>
      </c>
      <c r="F3433" s="46" t="s">
        <v>7886</v>
      </c>
      <c r="G3433" s="46" t="n">
        <f aca="false">+593979403398</f>
        <v>593979403398</v>
      </c>
      <c r="H3433" s="46" t="s">
        <v>7887</v>
      </c>
      <c r="I3433" s="46"/>
      <c r="J3433" s="1"/>
      <c r="K3433" s="1" t="s">
        <v>7761</v>
      </c>
      <c r="L3433" s="1"/>
      <c r="M3433" s="1"/>
      <c r="N3433" s="1"/>
      <c r="O3433" s="1"/>
      <c r="P3433" s="6"/>
      <c r="Q3433" s="1"/>
      <c r="R3433" s="1"/>
      <c r="S3433" s="1"/>
      <c r="T3433" s="1"/>
      <c r="U3433" s="1"/>
      <c r="V3433" s="1"/>
      <c r="W3433" s="1"/>
      <c r="X3433" s="1"/>
      <c r="Y3433" s="1"/>
      <c r="Z3433" s="1"/>
    </row>
    <row r="3434" customFormat="false" ht="21.75" hidden="false" customHeight="true" outlineLevel="0" collapsed="false">
      <c r="A3434" s="4" t="n">
        <v>43509</v>
      </c>
      <c r="B3434" s="53" t="s">
        <v>48</v>
      </c>
      <c r="C3434" s="46" t="s">
        <v>15</v>
      </c>
      <c r="D3434" s="46" t="s">
        <v>43</v>
      </c>
      <c r="E3434" s="46" t="s">
        <v>44</v>
      </c>
      <c r="F3434" s="46" t="s">
        <v>7888</v>
      </c>
      <c r="G3434" s="46" t="n">
        <f aca="false">+593989488498</f>
        <v>593989488498</v>
      </c>
      <c r="H3434" s="46" t="s">
        <v>7889</v>
      </c>
      <c r="I3434" s="46"/>
      <c r="J3434" s="1"/>
      <c r="K3434" s="1" t="s">
        <v>7890</v>
      </c>
      <c r="L3434" s="1"/>
      <c r="M3434" s="1"/>
      <c r="N3434" s="1"/>
      <c r="O3434" s="1"/>
      <c r="P3434" s="6"/>
      <c r="Q3434" s="1"/>
      <c r="R3434" s="1"/>
      <c r="S3434" s="1"/>
      <c r="T3434" s="1"/>
      <c r="U3434" s="1"/>
      <c r="V3434" s="1"/>
      <c r="W3434" s="1"/>
      <c r="X3434" s="1"/>
      <c r="Y3434" s="1"/>
      <c r="Z3434" s="1"/>
    </row>
    <row r="3435" customFormat="false" ht="21.75" hidden="false" customHeight="true" outlineLevel="0" collapsed="false">
      <c r="A3435" s="4" t="n">
        <v>43509</v>
      </c>
      <c r="B3435" s="53" t="s">
        <v>48</v>
      </c>
      <c r="C3435" s="46" t="s">
        <v>15</v>
      </c>
      <c r="D3435" s="46" t="s">
        <v>43</v>
      </c>
      <c r="E3435" s="46" t="s">
        <v>44</v>
      </c>
      <c r="F3435" s="46" t="s">
        <v>7891</v>
      </c>
      <c r="G3435" s="46" t="n">
        <f aca="false">+593998177968</f>
        <v>593998177968</v>
      </c>
      <c r="H3435" s="46" t="s">
        <v>7892</v>
      </c>
      <c r="I3435" s="46"/>
      <c r="J3435" s="1"/>
      <c r="K3435" s="1" t="s">
        <v>7893</v>
      </c>
      <c r="L3435" s="1"/>
      <c r="M3435" s="1"/>
      <c r="N3435" s="1"/>
      <c r="O3435" s="1"/>
      <c r="P3435" s="6"/>
      <c r="Q3435" s="1"/>
      <c r="R3435" s="1"/>
      <c r="S3435" s="1"/>
      <c r="T3435" s="1"/>
      <c r="U3435" s="1"/>
      <c r="V3435" s="1"/>
      <c r="W3435" s="1"/>
      <c r="X3435" s="1"/>
      <c r="Y3435" s="1"/>
      <c r="Z3435" s="1"/>
    </row>
    <row r="3436" customFormat="false" ht="21.75" hidden="false" customHeight="true" outlineLevel="0" collapsed="false">
      <c r="A3436" s="4" t="n">
        <v>43509</v>
      </c>
      <c r="B3436" s="53" t="s">
        <v>48</v>
      </c>
      <c r="C3436" s="46" t="s">
        <v>15</v>
      </c>
      <c r="D3436" s="46" t="s">
        <v>43</v>
      </c>
      <c r="E3436" s="46" t="s">
        <v>44</v>
      </c>
      <c r="F3436" s="46" t="s">
        <v>7894</v>
      </c>
      <c r="G3436" s="46" t="n">
        <f aca="false">+5930983777492</f>
        <v>5930983777492</v>
      </c>
      <c r="H3436" s="46" t="s">
        <v>7895</v>
      </c>
      <c r="I3436" s="46"/>
      <c r="J3436" s="1"/>
      <c r="K3436" s="1" t="s">
        <v>7761</v>
      </c>
      <c r="L3436" s="1"/>
      <c r="M3436" s="1"/>
      <c r="N3436" s="1"/>
      <c r="O3436" s="1"/>
      <c r="P3436" s="6"/>
      <c r="Q3436" s="1"/>
      <c r="R3436" s="1"/>
      <c r="S3436" s="1"/>
      <c r="T3436" s="1"/>
      <c r="U3436" s="1"/>
      <c r="V3436" s="1"/>
      <c r="W3436" s="1"/>
      <c r="X3436" s="1"/>
      <c r="Y3436" s="1"/>
      <c r="Z3436" s="1"/>
    </row>
    <row r="3437" customFormat="false" ht="21.75" hidden="false" customHeight="true" outlineLevel="0" collapsed="false">
      <c r="A3437" s="4" t="n">
        <v>43509</v>
      </c>
      <c r="B3437" s="53" t="s">
        <v>48</v>
      </c>
      <c r="C3437" s="46" t="s">
        <v>15</v>
      </c>
      <c r="D3437" s="46" t="s">
        <v>43</v>
      </c>
      <c r="E3437" s="46" t="s">
        <v>44</v>
      </c>
      <c r="F3437" s="46" t="s">
        <v>7896</v>
      </c>
      <c r="G3437" s="46" t="n">
        <f aca="false">+593992459112</f>
        <v>593992459112</v>
      </c>
      <c r="H3437" s="46" t="s">
        <v>7897</v>
      </c>
      <c r="I3437" s="46"/>
      <c r="J3437" s="1"/>
      <c r="K3437" s="1" t="s">
        <v>7761</v>
      </c>
      <c r="L3437" s="1"/>
      <c r="M3437" s="1"/>
      <c r="N3437" s="1"/>
      <c r="O3437" s="1"/>
      <c r="P3437" s="6"/>
      <c r="Q3437" s="1"/>
      <c r="R3437" s="1"/>
      <c r="S3437" s="1"/>
      <c r="T3437" s="1"/>
      <c r="U3437" s="1"/>
      <c r="V3437" s="1"/>
      <c r="W3437" s="1"/>
      <c r="X3437" s="1"/>
      <c r="Y3437" s="1"/>
      <c r="Z3437" s="1"/>
    </row>
    <row r="3438" customFormat="false" ht="21.75" hidden="false" customHeight="true" outlineLevel="0" collapsed="false">
      <c r="A3438" s="4" t="n">
        <v>43509</v>
      </c>
      <c r="B3438" s="53" t="s">
        <v>48</v>
      </c>
      <c r="C3438" s="46" t="s">
        <v>15</v>
      </c>
      <c r="D3438" s="46" t="s">
        <v>43</v>
      </c>
      <c r="E3438" s="46" t="s">
        <v>44</v>
      </c>
      <c r="F3438" s="46" t="s">
        <v>7100</v>
      </c>
      <c r="G3438" s="46" t="n">
        <f aca="false">+5930986820888</f>
        <v>5930986820888</v>
      </c>
      <c r="H3438" s="46" t="s">
        <v>7101</v>
      </c>
      <c r="I3438" s="46"/>
      <c r="J3438" s="1"/>
      <c r="K3438" s="1" t="s">
        <v>7761</v>
      </c>
      <c r="L3438" s="1"/>
      <c r="M3438" s="1"/>
      <c r="N3438" s="1"/>
      <c r="O3438" s="1"/>
      <c r="P3438" s="6"/>
      <c r="Q3438" s="1"/>
      <c r="R3438" s="1"/>
      <c r="S3438" s="1"/>
      <c r="T3438" s="1"/>
      <c r="U3438" s="1"/>
      <c r="V3438" s="1"/>
      <c r="W3438" s="1"/>
      <c r="X3438" s="1"/>
      <c r="Y3438" s="1"/>
      <c r="Z3438" s="1"/>
    </row>
    <row r="3439" customFormat="false" ht="21.75" hidden="false" customHeight="true" outlineLevel="0" collapsed="false">
      <c r="A3439" s="4" t="n">
        <v>43509</v>
      </c>
      <c r="B3439" s="53" t="s">
        <v>48</v>
      </c>
      <c r="C3439" s="46" t="s">
        <v>26</v>
      </c>
      <c r="D3439" s="46" t="s">
        <v>43</v>
      </c>
      <c r="E3439" s="46" t="s">
        <v>44</v>
      </c>
      <c r="F3439" s="46" t="s">
        <v>7898</v>
      </c>
      <c r="G3439" s="46" t="n">
        <f aca="false">+593987903044</f>
        <v>593987903044</v>
      </c>
      <c r="H3439" s="46" t="s">
        <v>7899</v>
      </c>
      <c r="I3439" s="46"/>
      <c r="J3439" s="1"/>
      <c r="K3439" s="1" t="s">
        <v>7778</v>
      </c>
      <c r="L3439" s="1"/>
      <c r="M3439" s="1"/>
      <c r="N3439" s="1"/>
      <c r="O3439" s="1"/>
      <c r="P3439" s="6"/>
      <c r="Q3439" s="1"/>
      <c r="R3439" s="1"/>
      <c r="S3439" s="1"/>
      <c r="T3439" s="1"/>
      <c r="U3439" s="1"/>
      <c r="V3439" s="1"/>
      <c r="W3439" s="1"/>
      <c r="X3439" s="1"/>
      <c r="Y3439" s="1"/>
      <c r="Z3439" s="1"/>
    </row>
    <row r="3440" customFormat="false" ht="21.75" hidden="false" customHeight="true" outlineLevel="0" collapsed="false">
      <c r="A3440" s="4" t="n">
        <v>43509</v>
      </c>
      <c r="B3440" s="53" t="s">
        <v>48</v>
      </c>
      <c r="C3440" s="46" t="s">
        <v>26</v>
      </c>
      <c r="D3440" s="46" t="s">
        <v>43</v>
      </c>
      <c r="E3440" s="46" t="s">
        <v>44</v>
      </c>
      <c r="F3440" s="46" t="s">
        <v>7900</v>
      </c>
      <c r="G3440" s="46" t="n">
        <f aca="false">+593978851848</f>
        <v>593978851848</v>
      </c>
      <c r="H3440" s="46" t="s">
        <v>7901</v>
      </c>
      <c r="I3440" s="46"/>
      <c r="J3440" s="1"/>
      <c r="K3440" s="1" t="s">
        <v>7902</v>
      </c>
      <c r="L3440" s="1"/>
      <c r="M3440" s="1"/>
      <c r="N3440" s="1"/>
      <c r="O3440" s="1"/>
      <c r="P3440" s="6"/>
      <c r="Q3440" s="1"/>
      <c r="R3440" s="1"/>
      <c r="S3440" s="1"/>
      <c r="T3440" s="1"/>
      <c r="U3440" s="1"/>
      <c r="V3440" s="1"/>
      <c r="W3440" s="1"/>
      <c r="X3440" s="1"/>
      <c r="Y3440" s="1"/>
      <c r="Z3440" s="1"/>
    </row>
    <row r="3441" customFormat="false" ht="21.75" hidden="false" customHeight="true" outlineLevel="0" collapsed="false">
      <c r="A3441" s="4" t="n">
        <v>43509</v>
      </c>
      <c r="B3441" s="53" t="s">
        <v>48</v>
      </c>
      <c r="C3441" s="46" t="s">
        <v>15</v>
      </c>
      <c r="D3441" s="46" t="s">
        <v>43</v>
      </c>
      <c r="E3441" s="46" t="s">
        <v>44</v>
      </c>
      <c r="F3441" s="46" t="s">
        <v>7903</v>
      </c>
      <c r="G3441" s="46" t="n">
        <f aca="false">+5930939149784</f>
        <v>5930939149784</v>
      </c>
      <c r="H3441" s="46" t="s">
        <v>7904</v>
      </c>
      <c r="I3441" s="46"/>
      <c r="J3441" s="1"/>
      <c r="K3441" s="1" t="s">
        <v>7761</v>
      </c>
      <c r="L3441" s="1"/>
      <c r="M3441" s="1"/>
      <c r="N3441" s="1"/>
      <c r="O3441" s="1"/>
      <c r="P3441" s="6"/>
      <c r="Q3441" s="1"/>
      <c r="R3441" s="1"/>
      <c r="S3441" s="1"/>
      <c r="T3441" s="1"/>
      <c r="U3441" s="1"/>
      <c r="V3441" s="1"/>
      <c r="W3441" s="1"/>
      <c r="X3441" s="1"/>
      <c r="Y3441" s="1"/>
      <c r="Z3441" s="1"/>
    </row>
    <row r="3442" customFormat="false" ht="21.75" hidden="false" customHeight="true" outlineLevel="0" collapsed="false">
      <c r="A3442" s="4" t="n">
        <v>43509</v>
      </c>
      <c r="B3442" s="53" t="s">
        <v>48</v>
      </c>
      <c r="C3442" s="46" t="s">
        <v>15</v>
      </c>
      <c r="D3442" s="46" t="s">
        <v>43</v>
      </c>
      <c r="E3442" s="46" t="s">
        <v>44</v>
      </c>
      <c r="F3442" s="46" t="s">
        <v>7905</v>
      </c>
      <c r="G3442" s="46" t="n">
        <f aca="false">+593997496122</f>
        <v>593997496122</v>
      </c>
      <c r="H3442" s="46" t="s">
        <v>7906</v>
      </c>
      <c r="I3442" s="46"/>
      <c r="J3442" s="1"/>
      <c r="K3442" s="1" t="s">
        <v>7778</v>
      </c>
      <c r="L3442" s="1"/>
      <c r="M3442" s="1"/>
      <c r="N3442" s="1"/>
      <c r="O3442" s="1"/>
      <c r="P3442" s="6"/>
      <c r="Q3442" s="1"/>
      <c r="R3442" s="1"/>
      <c r="S3442" s="1"/>
      <c r="T3442" s="1"/>
      <c r="U3442" s="1"/>
      <c r="V3442" s="1"/>
      <c r="W3442" s="1"/>
      <c r="X3442" s="1"/>
      <c r="Y3442" s="1"/>
      <c r="Z3442" s="1"/>
    </row>
    <row r="3443" customFormat="false" ht="21.75" hidden="false" customHeight="true" outlineLevel="0" collapsed="false">
      <c r="A3443" s="4" t="n">
        <v>43509</v>
      </c>
      <c r="B3443" s="53" t="s">
        <v>127</v>
      </c>
      <c r="C3443" s="46" t="s">
        <v>15</v>
      </c>
      <c r="D3443" s="46" t="s">
        <v>43</v>
      </c>
      <c r="E3443" s="46" t="s">
        <v>44</v>
      </c>
      <c r="F3443" s="46" t="s">
        <v>7907</v>
      </c>
      <c r="G3443" s="46" t="n">
        <f aca="false">+593939682072</f>
        <v>593939682072</v>
      </c>
      <c r="H3443" s="46" t="s">
        <v>7908</v>
      </c>
      <c r="I3443" s="46"/>
      <c r="J3443" s="1"/>
      <c r="K3443" s="1" t="s">
        <v>7778</v>
      </c>
      <c r="L3443" s="1"/>
      <c r="M3443" s="1"/>
      <c r="N3443" s="1"/>
      <c r="O3443" s="1"/>
      <c r="P3443" s="6"/>
      <c r="Q3443" s="1"/>
      <c r="R3443" s="1"/>
      <c r="S3443" s="1"/>
      <c r="T3443" s="1"/>
      <c r="U3443" s="1"/>
      <c r="V3443" s="1"/>
      <c r="W3443" s="1"/>
      <c r="X3443" s="1"/>
      <c r="Y3443" s="1"/>
      <c r="Z3443" s="1"/>
    </row>
    <row r="3444" customFormat="false" ht="21.75" hidden="false" customHeight="true" outlineLevel="0" collapsed="false">
      <c r="A3444" s="4" t="n">
        <v>43509</v>
      </c>
      <c r="B3444" s="53" t="s">
        <v>42</v>
      </c>
      <c r="C3444" s="46" t="s">
        <v>15</v>
      </c>
      <c r="D3444" s="46" t="s">
        <v>43</v>
      </c>
      <c r="E3444" s="46" t="s">
        <v>44</v>
      </c>
      <c r="F3444" s="46" t="s">
        <v>7909</v>
      </c>
      <c r="G3444" s="46" t="n">
        <f aca="false">+593990136560</f>
        <v>593990136560</v>
      </c>
      <c r="H3444" s="46" t="s">
        <v>7910</v>
      </c>
      <c r="I3444" s="46"/>
      <c r="J3444" s="1"/>
      <c r="K3444" s="1" t="s">
        <v>7778</v>
      </c>
      <c r="L3444" s="1"/>
      <c r="M3444" s="1"/>
      <c r="N3444" s="1"/>
      <c r="O3444" s="1"/>
      <c r="P3444" s="6"/>
      <c r="Q3444" s="1"/>
      <c r="R3444" s="1"/>
      <c r="S3444" s="1"/>
      <c r="T3444" s="1"/>
      <c r="U3444" s="1"/>
      <c r="V3444" s="1"/>
      <c r="W3444" s="1"/>
      <c r="X3444" s="1"/>
      <c r="Y3444" s="1"/>
      <c r="Z3444" s="1"/>
    </row>
    <row r="3445" customFormat="false" ht="21.75" hidden="false" customHeight="true" outlineLevel="0" collapsed="false">
      <c r="A3445" s="4" t="n">
        <v>43509</v>
      </c>
      <c r="B3445" s="53" t="s">
        <v>415</v>
      </c>
      <c r="C3445" s="46" t="s">
        <v>15</v>
      </c>
      <c r="D3445" s="46" t="s">
        <v>43</v>
      </c>
      <c r="E3445" s="46" t="s">
        <v>44</v>
      </c>
      <c r="F3445" s="46" t="s">
        <v>7911</v>
      </c>
      <c r="G3445" s="46" t="n">
        <f aca="false">+593967840535</f>
        <v>593967840535</v>
      </c>
      <c r="H3445" s="46" t="s">
        <v>7912</v>
      </c>
      <c r="I3445" s="46"/>
      <c r="J3445" s="1"/>
      <c r="K3445" s="1" t="s">
        <v>7778</v>
      </c>
      <c r="L3445" s="1"/>
      <c r="M3445" s="1"/>
      <c r="N3445" s="1"/>
      <c r="O3445" s="1"/>
      <c r="P3445" s="6"/>
      <c r="Q3445" s="1"/>
      <c r="R3445" s="1"/>
      <c r="S3445" s="1"/>
      <c r="T3445" s="1"/>
      <c r="U3445" s="1"/>
      <c r="V3445" s="1"/>
      <c r="W3445" s="1"/>
      <c r="X3445" s="1"/>
      <c r="Y3445" s="1"/>
      <c r="Z3445" s="1"/>
    </row>
    <row r="3446" customFormat="false" ht="21.75" hidden="false" customHeight="true" outlineLevel="0" collapsed="false">
      <c r="A3446" s="4" t="n">
        <v>43509</v>
      </c>
      <c r="B3446" s="53" t="s">
        <v>415</v>
      </c>
      <c r="C3446" s="46" t="s">
        <v>15</v>
      </c>
      <c r="D3446" s="46" t="s">
        <v>43</v>
      </c>
      <c r="E3446" s="46" t="s">
        <v>44</v>
      </c>
      <c r="F3446" s="46" t="s">
        <v>7913</v>
      </c>
      <c r="G3446" s="46" t="n">
        <f aca="false">+5930995802918</f>
        <v>5930995802918</v>
      </c>
      <c r="H3446" s="46" t="s">
        <v>7914</v>
      </c>
      <c r="I3446" s="46"/>
      <c r="J3446" s="1"/>
      <c r="K3446" s="1" t="s">
        <v>7761</v>
      </c>
      <c r="L3446" s="1"/>
      <c r="M3446" s="1"/>
      <c r="N3446" s="1"/>
      <c r="O3446" s="1"/>
      <c r="P3446" s="6"/>
      <c r="Q3446" s="1"/>
      <c r="R3446" s="1"/>
      <c r="S3446" s="1"/>
      <c r="T3446" s="1"/>
      <c r="U3446" s="1"/>
      <c r="V3446" s="1"/>
      <c r="W3446" s="1"/>
      <c r="X3446" s="1"/>
      <c r="Y3446" s="1"/>
      <c r="Z3446" s="1"/>
    </row>
    <row r="3447" customFormat="false" ht="21.75" hidden="false" customHeight="true" outlineLevel="0" collapsed="false">
      <c r="A3447" s="4" t="n">
        <v>43509</v>
      </c>
      <c r="B3447" s="53" t="s">
        <v>415</v>
      </c>
      <c r="C3447" s="46" t="s">
        <v>15</v>
      </c>
      <c r="D3447" s="46" t="s">
        <v>43</v>
      </c>
      <c r="E3447" s="46" t="s">
        <v>44</v>
      </c>
      <c r="F3447" s="46" t="s">
        <v>7915</v>
      </c>
      <c r="G3447" s="46" t="n">
        <f aca="false">+593991257205</f>
        <v>593991257205</v>
      </c>
      <c r="H3447" s="46" t="s">
        <v>7916</v>
      </c>
      <c r="I3447" s="46"/>
      <c r="J3447" s="1"/>
      <c r="K3447" s="1" t="s">
        <v>7516</v>
      </c>
      <c r="L3447" s="1"/>
      <c r="M3447" s="1"/>
      <c r="N3447" s="1"/>
      <c r="O3447" s="1"/>
      <c r="P3447" s="6"/>
      <c r="Q3447" s="1"/>
      <c r="R3447" s="1"/>
      <c r="S3447" s="1"/>
      <c r="T3447" s="1"/>
      <c r="U3447" s="1"/>
      <c r="V3447" s="1"/>
      <c r="W3447" s="1"/>
      <c r="X3447" s="1"/>
      <c r="Y3447" s="1"/>
      <c r="Z3447" s="1"/>
    </row>
    <row r="3448" customFormat="false" ht="21.75" hidden="false" customHeight="true" outlineLevel="0" collapsed="false">
      <c r="A3448" s="4" t="n">
        <v>43509</v>
      </c>
      <c r="B3448" s="53" t="s">
        <v>178</v>
      </c>
      <c r="C3448" s="46" t="s">
        <v>15</v>
      </c>
      <c r="D3448" s="46" t="s">
        <v>43</v>
      </c>
      <c r="E3448" s="46" t="s">
        <v>44</v>
      </c>
      <c r="F3448" s="46" t="s">
        <v>7917</v>
      </c>
      <c r="G3448" s="46" t="n">
        <f aca="false">+5930980397516</f>
        <v>5930980397516</v>
      </c>
      <c r="H3448" s="46" t="s">
        <v>7918</v>
      </c>
      <c r="I3448" s="46"/>
      <c r="J3448" s="1"/>
      <c r="K3448" s="1" t="s">
        <v>7516</v>
      </c>
      <c r="L3448" s="1"/>
      <c r="M3448" s="1"/>
      <c r="N3448" s="1"/>
      <c r="O3448" s="1"/>
      <c r="P3448" s="6"/>
      <c r="Q3448" s="1"/>
      <c r="R3448" s="1"/>
      <c r="S3448" s="1"/>
      <c r="T3448" s="1"/>
      <c r="U3448" s="1"/>
      <c r="V3448" s="1"/>
      <c r="W3448" s="1"/>
      <c r="X3448" s="1"/>
      <c r="Y3448" s="1"/>
      <c r="Z3448" s="1"/>
    </row>
    <row r="3449" customFormat="false" ht="21.75" hidden="false" customHeight="true" outlineLevel="0" collapsed="false">
      <c r="A3449" s="4" t="n">
        <v>43509</v>
      </c>
      <c r="B3449" s="53" t="s">
        <v>178</v>
      </c>
      <c r="C3449" s="46" t="s">
        <v>15</v>
      </c>
      <c r="D3449" s="46" t="s">
        <v>43</v>
      </c>
      <c r="E3449" s="46" t="s">
        <v>44</v>
      </c>
      <c r="F3449" s="46" t="s">
        <v>7919</v>
      </c>
      <c r="G3449" s="46" t="n">
        <f aca="false">+593991513648</f>
        <v>593991513648</v>
      </c>
      <c r="H3449" s="46" t="s">
        <v>7920</v>
      </c>
      <c r="I3449" s="46"/>
      <c r="J3449" s="1"/>
      <c r="K3449" s="1" t="s">
        <v>7516</v>
      </c>
      <c r="L3449" s="1"/>
      <c r="M3449" s="1"/>
      <c r="N3449" s="1"/>
      <c r="O3449" s="1"/>
      <c r="P3449" s="6"/>
      <c r="Q3449" s="1"/>
      <c r="R3449" s="1"/>
      <c r="S3449" s="1"/>
      <c r="T3449" s="1"/>
      <c r="U3449" s="1"/>
      <c r="V3449" s="1"/>
      <c r="W3449" s="1"/>
      <c r="X3449" s="1"/>
      <c r="Y3449" s="1"/>
      <c r="Z3449" s="1"/>
    </row>
    <row r="3450" customFormat="false" ht="21.75" hidden="false" customHeight="true" outlineLevel="0" collapsed="false">
      <c r="A3450" s="4" t="n">
        <v>43509</v>
      </c>
      <c r="B3450" s="53" t="s">
        <v>178</v>
      </c>
      <c r="C3450" s="46" t="s">
        <v>15</v>
      </c>
      <c r="D3450" s="46" t="s">
        <v>43</v>
      </c>
      <c r="E3450" s="46" t="s">
        <v>44</v>
      </c>
      <c r="F3450" s="46" t="s">
        <v>7921</v>
      </c>
      <c r="G3450" s="46" t="n">
        <f aca="false">+5930981404342</f>
        <v>5930981404342</v>
      </c>
      <c r="H3450" s="46" t="s">
        <v>7922</v>
      </c>
      <c r="I3450" s="46"/>
      <c r="J3450" s="1"/>
      <c r="K3450" s="1" t="s">
        <v>7516</v>
      </c>
      <c r="L3450" s="1"/>
      <c r="M3450" s="1"/>
      <c r="N3450" s="1"/>
      <c r="O3450" s="1"/>
      <c r="P3450" s="6"/>
      <c r="Q3450" s="1"/>
      <c r="R3450" s="1"/>
      <c r="S3450" s="1"/>
      <c r="T3450" s="1"/>
      <c r="U3450" s="1"/>
      <c r="V3450" s="1"/>
      <c r="W3450" s="1"/>
      <c r="X3450" s="1"/>
      <c r="Y3450" s="1"/>
      <c r="Z3450" s="1"/>
    </row>
    <row r="3451" customFormat="false" ht="21.75" hidden="false" customHeight="true" outlineLevel="0" collapsed="false">
      <c r="A3451" s="4" t="n">
        <v>43509</v>
      </c>
      <c r="B3451" s="53" t="s">
        <v>178</v>
      </c>
      <c r="C3451" s="46" t="s">
        <v>15</v>
      </c>
      <c r="D3451" s="46" t="s">
        <v>43</v>
      </c>
      <c r="E3451" s="46" t="s">
        <v>44</v>
      </c>
      <c r="F3451" s="46" t="s">
        <v>7923</v>
      </c>
      <c r="G3451" s="46" t="n">
        <f aca="false">+510984660648</f>
        <v>510984660648</v>
      </c>
      <c r="H3451" s="46" t="s">
        <v>7924</v>
      </c>
      <c r="I3451" s="46"/>
      <c r="J3451" s="1"/>
      <c r="K3451" s="1" t="s">
        <v>7516</v>
      </c>
      <c r="L3451" s="1"/>
      <c r="M3451" s="1"/>
      <c r="N3451" s="1"/>
      <c r="O3451" s="1"/>
      <c r="P3451" s="6"/>
      <c r="Q3451" s="1"/>
      <c r="R3451" s="1"/>
      <c r="S3451" s="1"/>
      <c r="T3451" s="1"/>
      <c r="U3451" s="1"/>
      <c r="V3451" s="1"/>
      <c r="W3451" s="1"/>
      <c r="X3451" s="1"/>
      <c r="Y3451" s="1"/>
      <c r="Z3451" s="1"/>
    </row>
    <row r="3452" customFormat="false" ht="21.75" hidden="false" customHeight="true" outlineLevel="0" collapsed="false">
      <c r="A3452" s="4" t="n">
        <v>43509</v>
      </c>
      <c r="B3452" s="53" t="s">
        <v>178</v>
      </c>
      <c r="C3452" s="46" t="s">
        <v>15</v>
      </c>
      <c r="D3452" s="46" t="s">
        <v>43</v>
      </c>
      <c r="E3452" s="46" t="s">
        <v>44</v>
      </c>
      <c r="F3452" s="46" t="s">
        <v>7925</v>
      </c>
      <c r="G3452" s="46" t="n">
        <f aca="false">+593990823107</f>
        <v>593990823107</v>
      </c>
      <c r="H3452" s="46" t="s">
        <v>7926</v>
      </c>
      <c r="I3452" s="46"/>
      <c r="J3452" s="1"/>
      <c r="K3452" s="1" t="s">
        <v>7516</v>
      </c>
      <c r="L3452" s="1"/>
      <c r="M3452" s="1"/>
      <c r="N3452" s="1"/>
      <c r="O3452" s="1"/>
      <c r="P3452" s="6"/>
      <c r="Q3452" s="1"/>
      <c r="R3452" s="1"/>
      <c r="S3452" s="1"/>
      <c r="T3452" s="1"/>
      <c r="U3452" s="1"/>
      <c r="V3452" s="1"/>
      <c r="W3452" s="1"/>
      <c r="X3452" s="1"/>
      <c r="Y3452" s="1"/>
      <c r="Z3452" s="1"/>
    </row>
    <row r="3453" customFormat="false" ht="21.75" hidden="false" customHeight="true" outlineLevel="0" collapsed="false">
      <c r="A3453" s="4" t="n">
        <v>43509</v>
      </c>
      <c r="B3453" s="53" t="s">
        <v>81</v>
      </c>
      <c r="C3453" s="46" t="s">
        <v>15</v>
      </c>
      <c r="D3453" s="46" t="s">
        <v>43</v>
      </c>
      <c r="E3453" s="46" t="s">
        <v>44</v>
      </c>
      <c r="F3453" s="46" t="s">
        <v>7927</v>
      </c>
      <c r="G3453" s="46" t="n">
        <f aca="false">+593994369312</f>
        <v>593994369312</v>
      </c>
      <c r="H3453" s="46" t="s">
        <v>7928</v>
      </c>
      <c r="I3453" s="46"/>
      <c r="J3453" s="1"/>
      <c r="K3453" s="1" t="s">
        <v>7516</v>
      </c>
      <c r="L3453" s="1"/>
      <c r="M3453" s="1"/>
      <c r="N3453" s="1"/>
      <c r="O3453" s="1"/>
      <c r="P3453" s="6"/>
      <c r="Q3453" s="1"/>
      <c r="R3453" s="1"/>
      <c r="S3453" s="1"/>
      <c r="T3453" s="1"/>
      <c r="U3453" s="1"/>
      <c r="V3453" s="1"/>
      <c r="W3453" s="1"/>
      <c r="X3453" s="1"/>
      <c r="Y3453" s="1"/>
      <c r="Z3453" s="1"/>
    </row>
    <row r="3454" customFormat="false" ht="21.75" hidden="false" customHeight="true" outlineLevel="0" collapsed="false">
      <c r="A3454" s="4" t="n">
        <v>43509</v>
      </c>
      <c r="B3454" s="53" t="s">
        <v>81</v>
      </c>
      <c r="C3454" s="46" t="s">
        <v>15</v>
      </c>
      <c r="D3454" s="46" t="s">
        <v>43</v>
      </c>
      <c r="E3454" s="46" t="s">
        <v>44</v>
      </c>
      <c r="F3454" s="46" t="s">
        <v>7929</v>
      </c>
      <c r="G3454" s="46" t="n">
        <f aca="false">+5930984152359</f>
        <v>5930984152359</v>
      </c>
      <c r="H3454" s="46" t="s">
        <v>7930</v>
      </c>
      <c r="I3454" s="46"/>
      <c r="J3454" s="1"/>
      <c r="K3454" s="1" t="s">
        <v>7931</v>
      </c>
      <c r="L3454" s="1"/>
      <c r="M3454" s="1"/>
      <c r="N3454" s="1"/>
      <c r="O3454" s="1"/>
      <c r="P3454" s="6"/>
      <c r="Q3454" s="1"/>
      <c r="R3454" s="1"/>
      <c r="S3454" s="1"/>
      <c r="T3454" s="1"/>
      <c r="U3454" s="1"/>
      <c r="V3454" s="1"/>
      <c r="W3454" s="1"/>
      <c r="X3454" s="1"/>
      <c r="Y3454" s="1"/>
      <c r="Z3454" s="1"/>
    </row>
    <row r="3455" customFormat="false" ht="21.75" hidden="false" customHeight="true" outlineLevel="0" collapsed="false">
      <c r="A3455" s="4" t="n">
        <v>43509</v>
      </c>
      <c r="B3455" s="53" t="s">
        <v>86</v>
      </c>
      <c r="C3455" s="46" t="s">
        <v>15</v>
      </c>
      <c r="D3455" s="46" t="s">
        <v>16</v>
      </c>
      <c r="E3455" s="46" t="s">
        <v>17</v>
      </c>
      <c r="F3455" s="46" t="s">
        <v>7932</v>
      </c>
      <c r="G3455" s="46" t="n">
        <f aca="false">+593994083637</f>
        <v>593994083637</v>
      </c>
      <c r="H3455" s="46" t="s">
        <v>7933</v>
      </c>
      <c r="I3455" s="46"/>
      <c r="J3455" s="1"/>
      <c r="K3455" s="1" t="s">
        <v>7931</v>
      </c>
      <c r="L3455" s="1"/>
      <c r="M3455" s="1"/>
      <c r="N3455" s="1"/>
      <c r="O3455" s="1"/>
      <c r="P3455" s="6"/>
      <c r="Q3455" s="1"/>
      <c r="R3455" s="1"/>
      <c r="S3455" s="1"/>
      <c r="T3455" s="1"/>
      <c r="U3455" s="1"/>
      <c r="V3455" s="1"/>
      <c r="W3455" s="1"/>
      <c r="X3455" s="1"/>
      <c r="Y3455" s="1"/>
      <c r="Z3455" s="1"/>
    </row>
    <row r="3456" customFormat="false" ht="21.75" hidden="false" customHeight="true" outlineLevel="0" collapsed="false">
      <c r="A3456" s="4" t="n">
        <v>43509</v>
      </c>
      <c r="B3456" s="53" t="s">
        <v>86</v>
      </c>
      <c r="C3456" s="46" t="s">
        <v>15</v>
      </c>
      <c r="D3456" s="46" t="s">
        <v>16</v>
      </c>
      <c r="E3456" s="46" t="s">
        <v>17</v>
      </c>
      <c r="F3456" s="46" t="s">
        <v>7934</v>
      </c>
      <c r="G3456" s="46" t="n">
        <f aca="false">+5930990286181</f>
        <v>5930990286181</v>
      </c>
      <c r="H3456" s="46" t="s">
        <v>7935</v>
      </c>
      <c r="I3456" s="46"/>
      <c r="J3456" s="1"/>
      <c r="K3456" s="1" t="s">
        <v>7931</v>
      </c>
      <c r="L3456" s="1"/>
      <c r="M3456" s="1"/>
      <c r="N3456" s="1"/>
      <c r="O3456" s="1"/>
      <c r="P3456" s="6"/>
      <c r="Q3456" s="1"/>
      <c r="R3456" s="1"/>
      <c r="S3456" s="1"/>
      <c r="T3456" s="1"/>
      <c r="U3456" s="1"/>
      <c r="V3456" s="1"/>
      <c r="W3456" s="1"/>
      <c r="X3456" s="1"/>
      <c r="Y3456" s="1"/>
      <c r="Z3456" s="1"/>
    </row>
    <row r="3457" customFormat="false" ht="21.75" hidden="false" customHeight="true" outlineLevel="0" collapsed="false">
      <c r="A3457" s="4" t="n">
        <v>43509</v>
      </c>
      <c r="B3457" s="53" t="s">
        <v>86</v>
      </c>
      <c r="C3457" s="46" t="s">
        <v>15</v>
      </c>
      <c r="D3457" s="46" t="s">
        <v>16</v>
      </c>
      <c r="E3457" s="46" t="s">
        <v>17</v>
      </c>
      <c r="F3457" s="46" t="s">
        <v>7936</v>
      </c>
      <c r="G3457" s="46" t="n">
        <f aca="false">+593983770156</f>
        <v>593983770156</v>
      </c>
      <c r="H3457" s="46" t="s">
        <v>7937</v>
      </c>
      <c r="I3457" s="46"/>
      <c r="J3457" s="1"/>
      <c r="K3457" s="1" t="s">
        <v>4901</v>
      </c>
      <c r="L3457" s="1"/>
      <c r="M3457" s="1"/>
      <c r="N3457" s="1"/>
      <c r="O3457" s="1"/>
      <c r="P3457" s="6"/>
      <c r="Q3457" s="1"/>
      <c r="R3457" s="1"/>
      <c r="S3457" s="1"/>
      <c r="T3457" s="1"/>
      <c r="U3457" s="1"/>
      <c r="V3457" s="1"/>
      <c r="W3457" s="1"/>
      <c r="X3457" s="1"/>
      <c r="Y3457" s="1"/>
      <c r="Z3457" s="1"/>
    </row>
    <row r="3458" customFormat="false" ht="21.75" hidden="false" customHeight="true" outlineLevel="0" collapsed="false">
      <c r="A3458" s="4" t="n">
        <v>43509</v>
      </c>
      <c r="B3458" s="53" t="s">
        <v>911</v>
      </c>
      <c r="C3458" s="46" t="s">
        <v>15</v>
      </c>
      <c r="D3458" s="46" t="s">
        <v>16</v>
      </c>
      <c r="E3458" s="46" t="s">
        <v>17</v>
      </c>
      <c r="F3458" s="46" t="s">
        <v>7938</v>
      </c>
      <c r="G3458" s="46" t="n">
        <f aca="false">+593998520116</f>
        <v>593998520116</v>
      </c>
      <c r="H3458" s="46" t="s">
        <v>7939</v>
      </c>
      <c r="I3458" s="46"/>
      <c r="J3458" s="1"/>
      <c r="K3458" s="1" t="s">
        <v>4901</v>
      </c>
      <c r="L3458" s="1"/>
      <c r="M3458" s="1"/>
      <c r="N3458" s="1"/>
      <c r="O3458" s="1"/>
      <c r="P3458" s="6"/>
      <c r="Q3458" s="1"/>
      <c r="R3458" s="1"/>
      <c r="S3458" s="1"/>
      <c r="T3458" s="1"/>
      <c r="U3458" s="1"/>
      <c r="V3458" s="1"/>
      <c r="W3458" s="1"/>
      <c r="X3458" s="1"/>
      <c r="Y3458" s="1"/>
      <c r="Z3458" s="1"/>
    </row>
    <row r="3459" customFormat="false" ht="21.75" hidden="false" customHeight="true" outlineLevel="0" collapsed="false">
      <c r="A3459" s="4" t="n">
        <v>43509</v>
      </c>
      <c r="B3459" s="53" t="s">
        <v>911</v>
      </c>
      <c r="C3459" s="46" t="s">
        <v>15</v>
      </c>
      <c r="D3459" s="46" t="s">
        <v>16</v>
      </c>
      <c r="E3459" s="46" t="s">
        <v>17</v>
      </c>
      <c r="F3459" s="46" t="s">
        <v>7940</v>
      </c>
      <c r="G3459" s="46" t="n">
        <f aca="false">+5930989735547</f>
        <v>5930989735547</v>
      </c>
      <c r="H3459" s="46" t="s">
        <v>7941</v>
      </c>
      <c r="I3459" s="46"/>
      <c r="J3459" s="1"/>
      <c r="K3459" s="1" t="s">
        <v>7931</v>
      </c>
      <c r="L3459" s="1"/>
      <c r="M3459" s="1"/>
      <c r="N3459" s="1"/>
      <c r="O3459" s="1"/>
      <c r="P3459" s="6"/>
      <c r="Q3459" s="1"/>
      <c r="R3459" s="1"/>
      <c r="S3459" s="1"/>
      <c r="T3459" s="1"/>
      <c r="U3459" s="1"/>
      <c r="V3459" s="1"/>
      <c r="W3459" s="1"/>
      <c r="X3459" s="1"/>
      <c r="Y3459" s="1"/>
      <c r="Z3459" s="1"/>
    </row>
    <row r="3460" customFormat="false" ht="21.75" hidden="false" customHeight="true" outlineLevel="0" collapsed="false">
      <c r="A3460" s="4" t="n">
        <v>43509</v>
      </c>
      <c r="B3460" s="53" t="s">
        <v>14</v>
      </c>
      <c r="C3460" s="46" t="s">
        <v>15</v>
      </c>
      <c r="D3460" s="46" t="s">
        <v>16</v>
      </c>
      <c r="E3460" s="46" t="s">
        <v>17</v>
      </c>
      <c r="F3460" s="46" t="s">
        <v>7942</v>
      </c>
      <c r="G3460" s="46" t="n">
        <f aca="false">+593967906344</f>
        <v>593967906344</v>
      </c>
      <c r="H3460" s="46" t="s">
        <v>7943</v>
      </c>
      <c r="I3460" s="46"/>
      <c r="J3460" s="1"/>
      <c r="K3460" s="1" t="s">
        <v>7931</v>
      </c>
      <c r="L3460" s="1"/>
      <c r="M3460" s="1"/>
      <c r="N3460" s="1"/>
      <c r="O3460" s="1"/>
      <c r="P3460" s="6"/>
      <c r="Q3460" s="1"/>
      <c r="R3460" s="1"/>
      <c r="S3460" s="1"/>
      <c r="T3460" s="1"/>
      <c r="U3460" s="1"/>
      <c r="V3460" s="1"/>
      <c r="W3460" s="1"/>
      <c r="X3460" s="1"/>
      <c r="Y3460" s="1"/>
      <c r="Z3460" s="1"/>
    </row>
    <row r="3461" customFormat="false" ht="21.75" hidden="false" customHeight="true" outlineLevel="0" collapsed="false">
      <c r="A3461" s="4" t="n">
        <v>43509</v>
      </c>
      <c r="B3461" s="53" t="s">
        <v>352</v>
      </c>
      <c r="C3461" s="46" t="s">
        <v>15</v>
      </c>
      <c r="D3461" s="46" t="s">
        <v>43</v>
      </c>
      <c r="E3461" s="46" t="s">
        <v>109</v>
      </c>
      <c r="F3461" s="50" t="s">
        <v>7944</v>
      </c>
      <c r="G3461" s="51" t="n">
        <v>991278422</v>
      </c>
      <c r="H3461" s="52"/>
      <c r="I3461" s="52"/>
      <c r="J3461" s="1"/>
      <c r="K3461" s="1" t="s">
        <v>7516</v>
      </c>
      <c r="L3461" s="1"/>
      <c r="M3461" s="1"/>
      <c r="N3461" s="1"/>
      <c r="O3461" s="1"/>
      <c r="P3461" s="6"/>
      <c r="Q3461" s="1"/>
      <c r="R3461" s="1"/>
      <c r="S3461" s="1"/>
      <c r="T3461" s="1"/>
      <c r="U3461" s="1"/>
      <c r="V3461" s="1"/>
      <c r="W3461" s="1"/>
      <c r="X3461" s="1"/>
      <c r="Y3461" s="1"/>
      <c r="Z3461" s="1"/>
    </row>
    <row r="3462" customFormat="false" ht="21.75" hidden="false" customHeight="true" outlineLevel="0" collapsed="false">
      <c r="A3462" s="4" t="n">
        <v>43509</v>
      </c>
      <c r="B3462" s="53" t="s">
        <v>48</v>
      </c>
      <c r="C3462" s="46" t="s">
        <v>15</v>
      </c>
      <c r="D3462" s="46" t="s">
        <v>43</v>
      </c>
      <c r="E3462" s="46" t="s">
        <v>109</v>
      </c>
      <c r="F3462" s="50" t="s">
        <v>7843</v>
      </c>
      <c r="G3462" s="51" t="n">
        <v>961213158</v>
      </c>
      <c r="H3462" s="52" t="s">
        <v>7945</v>
      </c>
      <c r="I3462" s="52"/>
      <c r="J3462" s="1"/>
      <c r="K3462" s="1" t="s">
        <v>7516</v>
      </c>
      <c r="L3462" s="1"/>
      <c r="M3462" s="1"/>
      <c r="N3462" s="1"/>
      <c r="O3462" s="1"/>
      <c r="P3462" s="6"/>
      <c r="Q3462" s="1"/>
      <c r="R3462" s="1"/>
      <c r="S3462" s="1"/>
      <c r="T3462" s="1"/>
      <c r="U3462" s="1"/>
      <c r="V3462" s="1"/>
      <c r="W3462" s="1"/>
      <c r="X3462" s="1"/>
      <c r="Y3462" s="1"/>
      <c r="Z3462" s="1"/>
    </row>
    <row r="3463" customFormat="false" ht="21.75" hidden="false" customHeight="true" outlineLevel="0" collapsed="false">
      <c r="A3463" s="4" t="n">
        <v>43509</v>
      </c>
      <c r="B3463" s="53" t="s">
        <v>48</v>
      </c>
      <c r="C3463" s="46" t="s">
        <v>15</v>
      </c>
      <c r="D3463" s="46" t="s">
        <v>43</v>
      </c>
      <c r="E3463" s="46" t="s">
        <v>883</v>
      </c>
      <c r="F3463" s="50" t="s">
        <v>3469</v>
      </c>
      <c r="G3463" s="51" t="n">
        <v>989483579</v>
      </c>
      <c r="H3463" s="52" t="s">
        <v>7946</v>
      </c>
      <c r="I3463" s="52"/>
      <c r="J3463" s="1"/>
      <c r="K3463" s="1" t="s">
        <v>7516</v>
      </c>
      <c r="L3463" s="1"/>
      <c r="M3463" s="1"/>
      <c r="N3463" s="1"/>
      <c r="O3463" s="1"/>
      <c r="P3463" s="6"/>
      <c r="Q3463" s="1"/>
      <c r="R3463" s="1"/>
      <c r="S3463" s="1"/>
      <c r="T3463" s="1"/>
      <c r="U3463" s="1"/>
      <c r="V3463" s="1"/>
      <c r="W3463" s="1"/>
      <c r="X3463" s="1"/>
      <c r="Y3463" s="1"/>
      <c r="Z3463" s="1"/>
    </row>
    <row r="3464" customFormat="false" ht="21.75" hidden="false" customHeight="true" outlineLevel="0" collapsed="false">
      <c r="A3464" s="4" t="n">
        <v>43509</v>
      </c>
      <c r="B3464" s="53" t="s">
        <v>178</v>
      </c>
      <c r="C3464" s="46" t="s">
        <v>15</v>
      </c>
      <c r="D3464" s="46" t="s">
        <v>43</v>
      </c>
      <c r="E3464" s="46" t="s">
        <v>109</v>
      </c>
      <c r="F3464" s="50" t="s">
        <v>7947</v>
      </c>
      <c r="G3464" s="52"/>
      <c r="H3464" s="52" t="s">
        <v>7948</v>
      </c>
      <c r="I3464" s="52"/>
      <c r="J3464" s="1"/>
      <c r="K3464" s="1" t="s">
        <v>7931</v>
      </c>
      <c r="L3464" s="1"/>
      <c r="M3464" s="1"/>
      <c r="N3464" s="1"/>
      <c r="O3464" s="1"/>
      <c r="P3464" s="6"/>
      <c r="Q3464" s="1"/>
      <c r="R3464" s="1"/>
      <c r="S3464" s="1"/>
      <c r="T3464" s="1"/>
      <c r="U3464" s="1"/>
      <c r="V3464" s="1"/>
      <c r="W3464" s="1"/>
      <c r="X3464" s="1"/>
      <c r="Y3464" s="1"/>
      <c r="Z3464" s="1"/>
    </row>
    <row r="3465" customFormat="false" ht="21.75" hidden="false" customHeight="true" outlineLevel="0" collapsed="false">
      <c r="A3465" s="4" t="n">
        <v>43509</v>
      </c>
      <c r="B3465" s="53" t="s">
        <v>1831</v>
      </c>
      <c r="C3465" s="46" t="s">
        <v>15</v>
      </c>
      <c r="D3465" s="46" t="s">
        <v>43</v>
      </c>
      <c r="E3465" s="46" t="s">
        <v>109</v>
      </c>
      <c r="F3465" s="50" t="s">
        <v>7949</v>
      </c>
      <c r="G3465" s="51" t="n">
        <v>985207531</v>
      </c>
      <c r="H3465" s="52" t="s">
        <v>7950</v>
      </c>
      <c r="I3465" s="52"/>
      <c r="J3465" s="1"/>
      <c r="K3465" s="1" t="s">
        <v>7516</v>
      </c>
      <c r="L3465" s="1"/>
      <c r="M3465" s="1"/>
      <c r="N3465" s="1"/>
      <c r="O3465" s="1"/>
      <c r="P3465" s="6"/>
      <c r="Q3465" s="1"/>
      <c r="R3465" s="1"/>
      <c r="S3465" s="1"/>
      <c r="T3465" s="1"/>
      <c r="U3465" s="1"/>
      <c r="V3465" s="1"/>
      <c r="W3465" s="1"/>
      <c r="X3465" s="1"/>
      <c r="Y3465" s="1"/>
      <c r="Z3465" s="1"/>
    </row>
    <row r="3466" customFormat="false" ht="21.75" hidden="false" customHeight="true" outlineLevel="0" collapsed="false">
      <c r="A3466" s="4" t="n">
        <v>43509</v>
      </c>
      <c r="B3466" s="53" t="s">
        <v>48</v>
      </c>
      <c r="C3466" s="46" t="s">
        <v>15</v>
      </c>
      <c r="D3466" s="46" t="s">
        <v>43</v>
      </c>
      <c r="E3466" s="46" t="s">
        <v>44</v>
      </c>
      <c r="F3466" s="50" t="s">
        <v>7951</v>
      </c>
      <c r="G3466" s="51" t="n">
        <v>960880927</v>
      </c>
      <c r="H3466" s="52" t="s">
        <v>7952</v>
      </c>
      <c r="I3466" s="52"/>
      <c r="J3466" s="1"/>
      <c r="K3466" s="1" t="s">
        <v>7516</v>
      </c>
      <c r="L3466" s="1"/>
      <c r="M3466" s="1"/>
      <c r="N3466" s="1"/>
      <c r="O3466" s="1"/>
      <c r="P3466" s="6"/>
      <c r="Q3466" s="1"/>
      <c r="R3466" s="1"/>
      <c r="S3466" s="1"/>
      <c r="T3466" s="1"/>
      <c r="U3466" s="1"/>
      <c r="V3466" s="1"/>
      <c r="W3466" s="1"/>
      <c r="X3466" s="1"/>
      <c r="Y3466" s="1"/>
      <c r="Z3466" s="1"/>
    </row>
    <row r="3467" customFormat="false" ht="21.75" hidden="false" customHeight="true" outlineLevel="0" collapsed="false">
      <c r="A3467" s="4" t="n">
        <v>43509</v>
      </c>
      <c r="B3467" s="53" t="s">
        <v>48</v>
      </c>
      <c r="C3467" s="46" t="s">
        <v>15</v>
      </c>
      <c r="D3467" s="46" t="s">
        <v>43</v>
      </c>
      <c r="E3467" s="46" t="s">
        <v>109</v>
      </c>
      <c r="F3467" s="50" t="s">
        <v>7953</v>
      </c>
      <c r="G3467" s="66" t="n">
        <v>979570962</v>
      </c>
      <c r="H3467" s="52" t="s">
        <v>7954</v>
      </c>
      <c r="I3467" s="52"/>
      <c r="J3467" s="1"/>
      <c r="K3467" s="1" t="s">
        <v>7516</v>
      </c>
      <c r="L3467" s="1"/>
      <c r="M3467" s="1"/>
      <c r="N3467" s="1"/>
      <c r="O3467" s="1"/>
      <c r="P3467" s="6"/>
      <c r="Q3467" s="1"/>
      <c r="R3467" s="1"/>
      <c r="S3467" s="1"/>
      <c r="T3467" s="1"/>
      <c r="U3467" s="1"/>
      <c r="V3467" s="1"/>
      <c r="W3467" s="1"/>
      <c r="X3467" s="1"/>
      <c r="Y3467" s="1"/>
      <c r="Z3467" s="1"/>
    </row>
    <row r="3468" customFormat="false" ht="21.75" hidden="false" customHeight="true" outlineLevel="0" collapsed="false">
      <c r="A3468" s="4" t="n">
        <v>43509</v>
      </c>
      <c r="B3468" s="53" t="s">
        <v>1831</v>
      </c>
      <c r="C3468" s="46" t="s">
        <v>15</v>
      </c>
      <c r="D3468" s="46" t="s">
        <v>43</v>
      </c>
      <c r="E3468" s="46" t="s">
        <v>109</v>
      </c>
      <c r="F3468" s="50" t="s">
        <v>3477</v>
      </c>
      <c r="G3468" s="51" t="n">
        <v>967287062</v>
      </c>
      <c r="H3468" s="52" t="s">
        <v>3478</v>
      </c>
      <c r="I3468" s="52"/>
      <c r="J3468" s="1"/>
      <c r="K3468" s="1" t="s">
        <v>7516</v>
      </c>
      <c r="L3468" s="1"/>
      <c r="M3468" s="1"/>
      <c r="N3468" s="1"/>
      <c r="O3468" s="1"/>
      <c r="P3468" s="6"/>
      <c r="Q3468" s="1"/>
      <c r="R3468" s="1"/>
      <c r="S3468" s="1"/>
      <c r="T3468" s="1"/>
      <c r="U3468" s="1"/>
      <c r="V3468" s="1"/>
      <c r="W3468" s="1"/>
      <c r="X3468" s="1"/>
      <c r="Y3468" s="1"/>
      <c r="Z3468" s="1"/>
    </row>
    <row r="3469" customFormat="false" ht="21.75" hidden="false" customHeight="true" outlineLevel="0" collapsed="false"/>
    <row r="3470" customFormat="false" ht="21.75" hidden="false" customHeight="true" outlineLevel="0" collapsed="false"/>
    <row r="3471" customFormat="false" ht="21.7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75" customFormat="false" ht="21.75" hidden="false" customHeight="true" outlineLevel="0" collapsed="false"/>
    <row r="3476" customFormat="false" ht="21.75" hidden="false" customHeight="true" outlineLevel="0" collapsed="false"/>
    <row r="3477" customFormat="false" ht="21.75" hidden="false" customHeight="true" outlineLevel="0" collapsed="false"/>
    <row r="3478" customFormat="false" ht="21.75" hidden="false" customHeight="true" outlineLevel="0" collapsed="false"/>
    <row r="3479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6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89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496" customFormat="false" ht="21.75" hidden="false" customHeight="true" outlineLevel="0" collapsed="false"/>
    <row r="3497" customFormat="false" ht="21.75" hidden="false" customHeight="true" outlineLevel="0" collapsed="false"/>
    <row r="3498" customFormat="false" ht="21.75" hidden="false" customHeight="true" outlineLevel="0" collapsed="false"/>
    <row r="3499" customFormat="false" ht="21.75" hidden="false" customHeight="true" outlineLevel="0" collapsed="false"/>
    <row r="3500" customFormat="false" ht="21.75" hidden="false" customHeight="true" outlineLevel="0" collapsed="false"/>
    <row r="3501" customFormat="false" ht="21.75" hidden="false" customHeight="true" outlineLevel="0" collapsed="false"/>
    <row r="3502" customFormat="false" ht="21.75" hidden="false" customHeight="true" outlineLevel="0" collapsed="false"/>
    <row r="3503" customFormat="false" ht="21.75" hidden="false" customHeight="true" outlineLevel="0" collapsed="false"/>
    <row r="3504" customFormat="false" ht="21.75" hidden="false" customHeight="true" outlineLevel="0" collapsed="false"/>
    <row r="3505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08" customFormat="false" ht="21.75" hidden="false" customHeight="true" outlineLevel="0" collapsed="false"/>
    <row r="3509" customFormat="false" ht="21.75" hidden="false" customHeight="true" outlineLevel="0" collapsed="false"/>
    <row r="3510" customFormat="false" ht="21.75" hidden="false" customHeight="true" outlineLevel="0" collapsed="false"/>
    <row r="3511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4" customFormat="false" ht="21.75" hidden="false" customHeight="true" outlineLevel="0" collapsed="false"/>
    <row r="3515" customFormat="false" ht="21.75" hidden="false" customHeight="true" outlineLevel="0" collapsed="false"/>
    <row r="3516" customFormat="false" ht="21.75" hidden="false" customHeight="true" outlineLevel="0" collapsed="false"/>
    <row r="3517" customFormat="false" ht="21.75" hidden="false" customHeight="true" outlineLevel="0" collapsed="false"/>
    <row r="3518" customFormat="false" ht="21.75" hidden="false" customHeight="true" outlineLevel="0" collapsed="false"/>
    <row r="3519" customFormat="false" ht="21.75" hidden="false" customHeight="true" outlineLevel="0" collapsed="false"/>
    <row r="3520" customFormat="false" ht="21.75" hidden="false" customHeight="true" outlineLevel="0" collapsed="false"/>
    <row r="3521" customFormat="false" ht="21.75" hidden="false" customHeight="true" outlineLevel="0" collapsed="false"/>
    <row r="3522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21.75" hidden="false" customHeight="true" outlineLevel="0" collapsed="false"/>
    <row r="3526" customFormat="false" ht="21.75" hidden="false" customHeight="true" outlineLevel="0" collapsed="false"/>
    <row r="3527" customFormat="false" ht="21.75" hidden="false" customHeight="true" outlineLevel="0" collapsed="false"/>
    <row r="3528" customFormat="false" ht="21.75" hidden="false" customHeight="true" outlineLevel="0" collapsed="false"/>
    <row r="3529" customFormat="false" ht="21.75" hidden="false" customHeight="true" outlineLevel="0" collapsed="false"/>
    <row r="3530" customFormat="false" ht="21.75" hidden="false" customHeight="true" outlineLevel="0" collapsed="false"/>
    <row r="3531" customFormat="false" ht="21.75" hidden="false" customHeight="true" outlineLevel="0" collapsed="false"/>
    <row r="3532" customFormat="false" ht="21.75" hidden="false" customHeight="true" outlineLevel="0" collapsed="false"/>
    <row r="3533" customFormat="false" ht="21.75" hidden="false" customHeight="true" outlineLevel="0" collapsed="false"/>
    <row r="3534" customFormat="false" ht="21.75" hidden="false" customHeight="true" outlineLevel="0" collapsed="false"/>
    <row r="3535" customFormat="false" ht="21.75" hidden="false" customHeight="true" outlineLevel="0" collapsed="false"/>
    <row r="3536" customFormat="false" ht="21.75" hidden="false" customHeight="true" outlineLevel="0" collapsed="false"/>
    <row r="3537" customFormat="false" ht="21.75" hidden="false" customHeight="true" outlineLevel="0" collapsed="false"/>
    <row r="3538" customFormat="false" ht="21.75" hidden="false" customHeight="true" outlineLevel="0" collapsed="false"/>
    <row r="3539" customFormat="false" ht="21.75" hidden="false" customHeight="true" outlineLevel="0" collapsed="false"/>
    <row r="3540" customFormat="false" ht="21.75" hidden="false" customHeight="true" outlineLevel="0" collapsed="false"/>
    <row r="3541" customFormat="false" ht="21.75" hidden="false" customHeight="true" outlineLevel="0" collapsed="false"/>
    <row r="3542" customFormat="false" ht="21.75" hidden="false" customHeight="true" outlineLevel="0" collapsed="false"/>
    <row r="3543" customFormat="false" ht="21.75" hidden="false" customHeight="true" outlineLevel="0" collapsed="false"/>
    <row r="3544" customFormat="false" ht="21.75" hidden="false" customHeight="true" outlineLevel="0" collapsed="false"/>
    <row r="3545" customFormat="false" ht="21.75" hidden="false" customHeight="true" outlineLevel="0" collapsed="false"/>
    <row r="3546" customFormat="false" ht="21.75" hidden="false" customHeight="true" outlineLevel="0" collapsed="false"/>
    <row r="3547" customFormat="false" ht="21.75" hidden="false" customHeight="true" outlineLevel="0" collapsed="false"/>
    <row r="3548" customFormat="false" ht="21.75" hidden="false" customHeight="true" outlineLevel="0" collapsed="false"/>
    <row r="3549" customFormat="false" ht="21.75" hidden="false" customHeight="true" outlineLevel="0" collapsed="false"/>
    <row r="3550" customFormat="false" ht="21.75" hidden="false" customHeight="true" outlineLevel="0" collapsed="false"/>
    <row r="3551" customFormat="false" ht="21.75" hidden="false" customHeight="true" outlineLevel="0" collapsed="false"/>
    <row r="3552" customFormat="false" ht="21.75" hidden="false" customHeight="true" outlineLevel="0" collapsed="false"/>
    <row r="3553" customFormat="false" ht="21.75" hidden="false" customHeight="true" outlineLevel="0" collapsed="false"/>
    <row r="3554" customFormat="false" ht="21.75" hidden="false" customHeight="true" outlineLevel="0" collapsed="false"/>
    <row r="3555" customFormat="false" ht="21.75" hidden="false" customHeight="true" outlineLevel="0" collapsed="false"/>
    <row r="3556" customFormat="false" ht="21.7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0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3" customFormat="false" ht="21.75" hidden="false" customHeight="true" outlineLevel="0" collapsed="false"/>
    <row r="3564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68" customFormat="false" ht="21.75" hidden="false" customHeight="true" outlineLevel="0" collapsed="false"/>
    <row r="3569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2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5" customFormat="false" ht="21.75" hidden="false" customHeight="true" outlineLevel="0" collapsed="false"/>
    <row r="3576" customFormat="false" ht="21.75" hidden="false" customHeight="true" outlineLevel="0" collapsed="false"/>
    <row r="3577" customFormat="false" ht="21.75" hidden="false" customHeight="true" outlineLevel="0" collapsed="false"/>
    <row r="3578" customFormat="false" ht="21.75" hidden="false" customHeight="true" outlineLevel="0" collapsed="false"/>
    <row r="3579" customFormat="false" ht="21.75" hidden="false" customHeight="true" outlineLevel="0" collapsed="false"/>
    <row r="3580" customFormat="false" ht="21.75" hidden="false" customHeight="true" outlineLevel="0" collapsed="false"/>
    <row r="3581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4" customFormat="false" ht="21.75" hidden="false" customHeight="true" outlineLevel="0" collapsed="false"/>
    <row r="3585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8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5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8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1" customFormat="false" ht="21.75" hidden="false" customHeight="true" outlineLevel="0" collapsed="false"/>
    <row r="3602" customFormat="false" ht="21.75" hidden="false" customHeight="true" outlineLevel="0" collapsed="false"/>
    <row r="3603" customFormat="false" ht="21.75" hidden="false" customHeight="true" outlineLevel="0" collapsed="false"/>
    <row r="3604" customFormat="false" ht="21.75" hidden="false" customHeight="true" outlineLevel="0" collapsed="false"/>
    <row r="3605" customFormat="false" ht="21.75" hidden="false" customHeight="true" outlineLevel="0" collapsed="false"/>
    <row r="3606" customFormat="false" ht="21.75" hidden="false" customHeight="true" outlineLevel="0" collapsed="false"/>
    <row r="3607" customFormat="false" ht="21.75" hidden="false" customHeight="true" outlineLevel="0" collapsed="false"/>
    <row r="3608" customFormat="false" ht="21.75" hidden="false" customHeight="true" outlineLevel="0" collapsed="false"/>
    <row r="3609" customFormat="false" ht="21.75" hidden="false" customHeight="true" outlineLevel="0" collapsed="false"/>
    <row r="3610" customFormat="false" ht="21.75" hidden="false" customHeight="true" outlineLevel="0" collapsed="false"/>
    <row r="3611" customFormat="false" ht="21.75" hidden="false" customHeight="true" outlineLevel="0" collapsed="false"/>
    <row r="3612" customFormat="false" ht="21.75" hidden="false" customHeight="true" outlineLevel="0" collapsed="false"/>
    <row r="3613" customFormat="false" ht="21.75" hidden="false" customHeight="true" outlineLevel="0" collapsed="false"/>
    <row r="3614" customFormat="false" ht="21.75" hidden="false" customHeight="true" outlineLevel="0" collapsed="false"/>
    <row r="3615" customFormat="false" ht="21.75" hidden="false" customHeight="true" outlineLevel="0" collapsed="false"/>
    <row r="3616" customFormat="false" ht="21.75" hidden="false" customHeight="true" outlineLevel="0" collapsed="false"/>
    <row r="3617" customFormat="false" ht="21.75" hidden="false" customHeight="true" outlineLevel="0" collapsed="false"/>
    <row r="3618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1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4" customFormat="false" ht="21.75" hidden="false" customHeight="true" outlineLevel="0" collapsed="false"/>
    <row r="3625" customFormat="false" ht="21.75" hidden="false" customHeight="true" outlineLevel="0" collapsed="false"/>
    <row r="3626" customFormat="false" ht="21.75" hidden="false" customHeight="true" outlineLevel="0" collapsed="false"/>
    <row r="3627" customFormat="false" ht="21.75" hidden="false" customHeight="true" outlineLevel="0" collapsed="false"/>
    <row r="3628" customFormat="false" ht="21.75" hidden="false" customHeight="true" outlineLevel="0" collapsed="false"/>
    <row r="3629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21.75" hidden="false" customHeight="true" outlineLevel="0" collapsed="false"/>
    <row r="3633" customFormat="false" ht="21.75" hidden="false" customHeight="true" outlineLevel="0" collapsed="false"/>
    <row r="3634" customFormat="false" ht="21.75" hidden="false" customHeight="true" outlineLevel="0" collapsed="false"/>
    <row r="3635" customFormat="false" ht="21.7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8" customFormat="false" ht="21.75" hidden="false" customHeight="true" outlineLevel="0" collapsed="false"/>
    <row r="3639" customFormat="false" ht="21.75" hidden="false" customHeight="true" outlineLevel="0" collapsed="false"/>
    <row r="3640" customFormat="false" ht="21.75" hidden="false" customHeight="true" outlineLevel="0" collapsed="false"/>
    <row r="3641" customFormat="false" ht="21.75" hidden="false" customHeight="true" outlineLevel="0" collapsed="false"/>
    <row r="3642" customFormat="false" ht="21.75" hidden="false" customHeight="true" outlineLevel="0" collapsed="false"/>
    <row r="3643" customFormat="false" ht="21.75" hidden="false" customHeight="true" outlineLevel="0" collapsed="false"/>
    <row r="3644" customFormat="false" ht="21.75" hidden="false" customHeight="true" outlineLevel="0" collapsed="false"/>
    <row r="3645" customFormat="false" ht="21.75" hidden="false" customHeight="true" outlineLevel="0" collapsed="false"/>
    <row r="3646" customFormat="false" ht="21.75" hidden="false" customHeight="true" outlineLevel="0" collapsed="false"/>
    <row r="3647" customFormat="false" ht="21.7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1" customFormat="false" ht="21.75" hidden="false" customHeight="true" outlineLevel="0" collapsed="false"/>
    <row r="3652" customFormat="false" ht="21.75" hidden="false" customHeight="true" outlineLevel="0" collapsed="false"/>
    <row r="3653" customFormat="false" ht="21.75" hidden="false" customHeight="true" outlineLevel="0" collapsed="false"/>
    <row r="3654" customFormat="false" ht="21.75" hidden="false" customHeight="true" outlineLevel="0" collapsed="false"/>
    <row r="3655" customFormat="false" ht="21.75" hidden="false" customHeight="true" outlineLevel="0" collapsed="false"/>
    <row r="3656" customFormat="false" ht="21.75" hidden="false" customHeight="true" outlineLevel="0" collapsed="false"/>
    <row r="3657" customFormat="false" ht="21.75" hidden="false" customHeight="true" outlineLevel="0" collapsed="false"/>
    <row r="3658" customFormat="false" ht="21.75" hidden="false" customHeight="true" outlineLevel="0" collapsed="false"/>
    <row r="3659" customFormat="false" ht="21.75" hidden="false" customHeight="true" outlineLevel="0" collapsed="false"/>
    <row r="3660" customFormat="false" ht="21.75" hidden="false" customHeight="true" outlineLevel="0" collapsed="false"/>
    <row r="3661" customFormat="false" ht="21.75" hidden="false" customHeight="true" outlineLevel="0" collapsed="false"/>
    <row r="3662" customFormat="false" ht="21.75" hidden="false" customHeight="true" outlineLevel="0" collapsed="false"/>
    <row r="3663" customFormat="false" ht="21.75" hidden="false" customHeight="true" outlineLevel="0" collapsed="false"/>
    <row r="3664" customFormat="false" ht="21.75" hidden="false" customHeight="true" outlineLevel="0" collapsed="false"/>
    <row r="3665" customFormat="false" ht="21.75" hidden="false" customHeight="true" outlineLevel="0" collapsed="false"/>
    <row r="3666" customFormat="false" ht="21.75" hidden="false" customHeight="true" outlineLevel="0" collapsed="false"/>
    <row r="3667" customFormat="false" ht="21.75" hidden="false" customHeight="true" outlineLevel="0" collapsed="false"/>
    <row r="3668" customFormat="false" ht="21.75" hidden="false" customHeight="true" outlineLevel="0" collapsed="false"/>
    <row r="3669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4" customFormat="false" ht="21.75" hidden="false" customHeight="true" outlineLevel="0" collapsed="false"/>
    <row r="3675" customFormat="false" ht="21.75" hidden="false" customHeight="true" outlineLevel="0" collapsed="false"/>
    <row r="3676" customFormat="false" ht="21.75" hidden="false" customHeight="true" outlineLevel="0" collapsed="false"/>
    <row r="3677" customFormat="false" ht="21.75" hidden="false" customHeight="true" outlineLevel="0" collapsed="false"/>
    <row r="3678" customFormat="false" ht="21.75" hidden="false" customHeight="true" outlineLevel="0" collapsed="false"/>
    <row r="3679" customFormat="false" ht="21.75" hidden="false" customHeight="true" outlineLevel="0" collapsed="false"/>
    <row r="3680" customFormat="false" ht="21.75" hidden="false" customHeight="true" outlineLevel="0" collapsed="false"/>
    <row r="3681" customFormat="false" ht="21.75" hidden="false" customHeight="true" outlineLevel="0" collapsed="false"/>
    <row r="3682" customFormat="false" ht="21.75" hidden="false" customHeight="true" outlineLevel="0" collapsed="false"/>
    <row r="3683" customFormat="false" ht="21.75" hidden="false" customHeight="true" outlineLevel="0" collapsed="false"/>
    <row r="3684" customFormat="false" ht="21.75" hidden="false" customHeight="true" outlineLevel="0" collapsed="false"/>
    <row r="3685" customFormat="false" ht="21.75" hidden="false" customHeight="true" outlineLevel="0" collapsed="false"/>
    <row r="3686" customFormat="false" ht="21.75" hidden="false" customHeight="true" outlineLevel="0" collapsed="false"/>
    <row r="3687" customFormat="false" ht="21.75" hidden="false" customHeight="true" outlineLevel="0" collapsed="false"/>
    <row r="3688" customFormat="false" ht="21.75" hidden="false" customHeight="true" outlineLevel="0" collapsed="false"/>
    <row r="3689" customFormat="false" ht="21.75" hidden="false" customHeight="true" outlineLevel="0" collapsed="false"/>
    <row r="3690" customFormat="false" ht="21.75" hidden="false" customHeight="true" outlineLevel="0" collapsed="false"/>
    <row r="3691" customFormat="false" ht="21.75" hidden="false" customHeight="true" outlineLevel="0" collapsed="false"/>
    <row r="3692" customFormat="false" ht="21.75" hidden="false" customHeight="true" outlineLevel="0" collapsed="false"/>
    <row r="3693" customFormat="false" ht="21.75" hidden="false" customHeight="true" outlineLevel="0" collapsed="false"/>
    <row r="3694" customFormat="false" ht="21.75" hidden="false" customHeight="true" outlineLevel="0" collapsed="false"/>
    <row r="3695" customFormat="false" ht="21.75" hidden="false" customHeight="true" outlineLevel="0" collapsed="false"/>
    <row r="3696" customFormat="false" ht="21.75" hidden="false" customHeight="true" outlineLevel="0" collapsed="false"/>
    <row r="3697" customFormat="false" ht="21.75" hidden="false" customHeight="true" outlineLevel="0" collapsed="false"/>
    <row r="3698" customFormat="false" ht="21.75" hidden="false" customHeight="true" outlineLevel="0" collapsed="false"/>
    <row r="3699" customFormat="false" ht="21.75" hidden="false" customHeight="true" outlineLevel="0" collapsed="false"/>
    <row r="3700" customFormat="false" ht="21.75" hidden="false" customHeight="true" outlineLevel="0" collapsed="false"/>
    <row r="3701" customFormat="false" ht="21.75" hidden="false" customHeight="true" outlineLevel="0" collapsed="false"/>
    <row r="3702" customFormat="false" ht="21.75" hidden="false" customHeight="true" outlineLevel="0" collapsed="false"/>
    <row r="3703" customFormat="false" ht="21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21.75" hidden="false" customHeight="true" outlineLevel="0" collapsed="false"/>
    <row r="3709" customFormat="false" ht="21.75" hidden="false" customHeight="true" outlineLevel="0" collapsed="false"/>
    <row r="3710" customFormat="false" ht="21.75" hidden="false" customHeight="true" outlineLevel="0" collapsed="false"/>
    <row r="3711" customFormat="false" ht="21.75" hidden="false" customHeight="true" outlineLevel="0" collapsed="false"/>
    <row r="3712" customFormat="false" ht="21.7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5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1" customFormat="false" ht="21.75" hidden="false" customHeight="true" outlineLevel="0" collapsed="false"/>
    <row r="3722" customFormat="false" ht="21.75" hidden="false" customHeight="true" outlineLevel="0" collapsed="false"/>
    <row r="3723" customFormat="false" ht="21.75" hidden="false" customHeight="true" outlineLevel="0" collapsed="false"/>
    <row r="3724" customFormat="false" ht="21.75" hidden="false" customHeight="true" outlineLevel="0" collapsed="false"/>
    <row r="3725" customFormat="false" ht="21.75" hidden="false" customHeight="true" outlineLevel="0" collapsed="false"/>
    <row r="3726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29" customFormat="false" ht="21.75" hidden="false" customHeight="true" outlineLevel="0" collapsed="false"/>
    <row r="3730" customFormat="false" ht="21.75" hidden="false" customHeight="true" outlineLevel="0" collapsed="false"/>
    <row r="3731" customFormat="false" ht="21.75" hidden="false" customHeight="true" outlineLevel="0" collapsed="false"/>
    <row r="3732" customFormat="false" ht="21.75" hidden="false" customHeight="true" outlineLevel="0" collapsed="false"/>
    <row r="3733" customFormat="false" ht="21.75" hidden="false" customHeight="true" outlineLevel="0" collapsed="false"/>
    <row r="3734" customFormat="false" ht="21.75" hidden="false" customHeight="true" outlineLevel="0" collapsed="false"/>
    <row r="3735" customFormat="false" ht="21.75" hidden="false" customHeight="true" outlineLevel="0" collapsed="false"/>
    <row r="3736" customFormat="false" ht="21.75" hidden="false" customHeight="true" outlineLevel="0" collapsed="false"/>
    <row r="3737" customFormat="false" ht="21.75" hidden="false" customHeight="true" outlineLevel="0" collapsed="false"/>
    <row r="3738" customFormat="false" ht="21.75" hidden="false" customHeight="true" outlineLevel="0" collapsed="false"/>
    <row r="3739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4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21.75" hidden="false" customHeight="true" outlineLevel="0" collapsed="false"/>
    <row r="3748" customFormat="false" ht="21.75" hidden="false" customHeight="true" outlineLevel="0" collapsed="false"/>
    <row r="3749" customFormat="false" ht="21.75" hidden="false" customHeight="true" outlineLevel="0" collapsed="false"/>
    <row r="3750" customFormat="false" ht="21.75" hidden="false" customHeight="true" outlineLevel="0" collapsed="false"/>
    <row r="3751" customFormat="false" ht="21.75" hidden="false" customHeight="true" outlineLevel="0" collapsed="false"/>
    <row r="3752" customFormat="false" ht="21.75" hidden="false" customHeight="true" outlineLevel="0" collapsed="false"/>
    <row r="3753" customFormat="false" ht="21.75" hidden="false" customHeight="true" outlineLevel="0" collapsed="false"/>
    <row r="3754" customFormat="false" ht="21.75" hidden="false" customHeight="true" outlineLevel="0" collapsed="false"/>
    <row r="3755" customFormat="false" ht="21.75" hidden="false" customHeight="true" outlineLevel="0" collapsed="false"/>
    <row r="3756" customFormat="false" ht="21.75" hidden="false" customHeight="true" outlineLevel="0" collapsed="false"/>
    <row r="3757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21.75" hidden="false" customHeight="true" outlineLevel="0" collapsed="false"/>
    <row r="3762" customFormat="false" ht="21.75" hidden="false" customHeight="true" outlineLevel="0" collapsed="false"/>
    <row r="3763" customFormat="false" ht="21.75" hidden="false" customHeight="true" outlineLevel="0" collapsed="false"/>
    <row r="3764" customFormat="false" ht="21.75" hidden="false" customHeight="true" outlineLevel="0" collapsed="false"/>
    <row r="3765" customFormat="false" ht="21.75" hidden="false" customHeight="true" outlineLevel="0" collapsed="false"/>
    <row r="3766" customFormat="false" ht="21.75" hidden="false" customHeight="true" outlineLevel="0" collapsed="false"/>
    <row r="3767" customFormat="false" ht="21.75" hidden="false" customHeight="true" outlineLevel="0" collapsed="false"/>
    <row r="3768" customFormat="false" ht="21.75" hidden="false" customHeight="true" outlineLevel="0" collapsed="false"/>
    <row r="3769" customFormat="false" ht="21.75" hidden="false" customHeight="true" outlineLevel="0" collapsed="false"/>
    <row r="3770" customFormat="false" ht="21.7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73" customFormat="false" ht="21.75" hidden="false" customHeight="true" outlineLevel="0" collapsed="false"/>
    <row r="3774" customFormat="false" ht="21.75" hidden="false" customHeight="true" outlineLevel="0" collapsed="false"/>
    <row r="3775" customFormat="false" ht="21.75" hidden="false" customHeight="true" outlineLevel="0" collapsed="false"/>
    <row r="3776" customFormat="false" ht="21.75" hidden="false" customHeight="true" outlineLevel="0" collapsed="false"/>
    <row r="3777" customFormat="false" ht="21.75" hidden="false" customHeight="true" outlineLevel="0" collapsed="false"/>
    <row r="3778" customFormat="false" ht="21.75" hidden="false" customHeight="true" outlineLevel="0" collapsed="false"/>
    <row r="3779" customFormat="false" ht="21.75" hidden="false" customHeight="true" outlineLevel="0" collapsed="false"/>
    <row r="3780" customFormat="false" ht="21.75" hidden="false" customHeight="true" outlineLevel="0" collapsed="false"/>
    <row r="3781" customFormat="false" ht="21.75" hidden="false" customHeight="true" outlineLevel="0" collapsed="false"/>
    <row r="3782" customFormat="false" ht="21.75" hidden="false" customHeight="true" outlineLevel="0" collapsed="false"/>
    <row r="3783" customFormat="false" ht="21.75" hidden="false" customHeight="true" outlineLevel="0" collapsed="false"/>
    <row r="3784" customFormat="false" ht="21.75" hidden="false" customHeight="true" outlineLevel="0" collapsed="false"/>
    <row r="3785" customFormat="false" ht="21.75" hidden="false" customHeight="true" outlineLevel="0" collapsed="false"/>
    <row r="3786" customFormat="false" ht="21.75" hidden="false" customHeight="true" outlineLevel="0" collapsed="false"/>
    <row r="3787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2" customFormat="false" ht="21.75" hidden="false" customHeight="true" outlineLevel="0" collapsed="false"/>
    <row r="3793" customFormat="false" ht="21.75" hidden="false" customHeight="true" outlineLevel="0" collapsed="false"/>
    <row r="3794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797" customFormat="false" ht="21.75" hidden="false" customHeight="true" outlineLevel="0" collapsed="false"/>
    <row r="3798" customFormat="false" ht="21.75" hidden="false" customHeight="true" outlineLevel="0" collapsed="false"/>
    <row r="3799" customFormat="false" ht="21.75" hidden="false" customHeight="true" outlineLevel="0" collapsed="false"/>
    <row r="3800" customFormat="false" ht="21.75" hidden="false" customHeight="true" outlineLevel="0" collapsed="false"/>
    <row r="3801" customFormat="false" ht="21.75" hidden="false" customHeight="true" outlineLevel="0" collapsed="false"/>
    <row r="3802" customFormat="false" ht="21.75" hidden="false" customHeight="true" outlineLevel="0" collapsed="false"/>
    <row r="3803" customFormat="false" ht="21.75" hidden="false" customHeight="true" outlineLevel="0" collapsed="false"/>
    <row r="3804" customFormat="false" ht="21.75" hidden="false" customHeight="true" outlineLevel="0" collapsed="false"/>
    <row r="3805" customFormat="false" ht="21.75" hidden="false" customHeight="true" outlineLevel="0" collapsed="false"/>
    <row r="3806" customFormat="false" ht="21.75" hidden="false" customHeight="true" outlineLevel="0" collapsed="false"/>
    <row r="3807" customFormat="false" ht="21.75" hidden="false" customHeight="true" outlineLevel="0" collapsed="false"/>
    <row r="3808" customFormat="false" ht="21.75" hidden="false" customHeight="true" outlineLevel="0" collapsed="false"/>
    <row r="3809" customFormat="false" ht="21.75" hidden="false" customHeight="true" outlineLevel="0" collapsed="false"/>
    <row r="3810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17" customFormat="false" ht="21.75" hidden="false" customHeight="true" outlineLevel="0" collapsed="false"/>
    <row r="3818" customFormat="false" ht="21.75" hidden="false" customHeight="true" outlineLevel="0" collapsed="false"/>
    <row r="3819" customFormat="false" ht="21.75" hidden="false" customHeight="true" outlineLevel="0" collapsed="false"/>
    <row r="3820" customFormat="false" ht="21.75" hidden="false" customHeight="true" outlineLevel="0" collapsed="false"/>
    <row r="3821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21.75" hidden="false" customHeight="true" outlineLevel="0" collapsed="false"/>
    <row r="3825" customFormat="false" ht="21.75" hidden="false" customHeight="true" outlineLevel="0" collapsed="false"/>
    <row r="3826" customFormat="false" ht="21.75" hidden="false" customHeight="true" outlineLevel="0" collapsed="false"/>
    <row r="3827" customFormat="false" ht="21.75" hidden="false" customHeight="true" outlineLevel="0" collapsed="false"/>
    <row r="3828" customFormat="false" ht="21.7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1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7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0" customFormat="false" ht="21.75" hidden="false" customHeight="true" outlineLevel="0" collapsed="false"/>
    <row r="3841" customFormat="false" ht="21.75" hidden="false" customHeight="true" outlineLevel="0" collapsed="false"/>
    <row r="3842" customFormat="false" ht="21.75" hidden="false" customHeight="true" outlineLevel="0" collapsed="false"/>
    <row r="3843" customFormat="false" ht="21.75" hidden="false" customHeight="true" outlineLevel="0" collapsed="false"/>
    <row r="3844" customFormat="false" ht="21.75" hidden="false" customHeight="true" outlineLevel="0" collapsed="false"/>
    <row r="3845" customFormat="false" ht="21.75" hidden="false" customHeight="true" outlineLevel="0" collapsed="false"/>
    <row r="3846" customFormat="false" ht="21.75" hidden="false" customHeight="true" outlineLevel="0" collapsed="false"/>
    <row r="3847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0" customFormat="false" ht="21.75" hidden="false" customHeight="true" outlineLevel="0" collapsed="false"/>
    <row r="3851" customFormat="false" ht="21.75" hidden="false" customHeight="true" outlineLevel="0" collapsed="false"/>
    <row r="3852" customFormat="false" ht="21.75" hidden="false" customHeight="true" outlineLevel="0" collapsed="false"/>
    <row r="3853" customFormat="false" ht="21.75" hidden="false" customHeight="true" outlineLevel="0" collapsed="false"/>
    <row r="3854" customFormat="false" ht="21.75" hidden="false" customHeight="true" outlineLevel="0" collapsed="false"/>
    <row r="3855" customFormat="false" ht="21.75" hidden="false" customHeight="true" outlineLevel="0" collapsed="false"/>
    <row r="3856" customFormat="false" ht="21.75" hidden="false" customHeight="true" outlineLevel="0" collapsed="false"/>
    <row r="3857" customFormat="false" ht="21.75" hidden="false" customHeight="true" outlineLevel="0" collapsed="false"/>
    <row r="3858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1" customFormat="false" ht="21.75" hidden="false" customHeight="true" outlineLevel="0" collapsed="false"/>
    <row r="3862" customFormat="false" ht="21.75" hidden="false" customHeight="true" outlineLevel="0" collapsed="false"/>
    <row r="3863" customFormat="false" ht="21.75" hidden="false" customHeight="true" outlineLevel="0" collapsed="false"/>
    <row r="3864" customFormat="false" ht="21.75" hidden="false" customHeight="true" outlineLevel="0" collapsed="false"/>
    <row r="3865" customFormat="false" ht="21.75" hidden="false" customHeight="true" outlineLevel="0" collapsed="false"/>
    <row r="3866" customFormat="false" ht="21.75" hidden="false" customHeight="true" outlineLevel="0" collapsed="false"/>
    <row r="3867" customFormat="false" ht="21.75" hidden="false" customHeight="true" outlineLevel="0" collapsed="false"/>
    <row r="3868" customFormat="false" ht="21.75" hidden="false" customHeight="true" outlineLevel="0" collapsed="false"/>
    <row r="3869" customFormat="false" ht="21.75" hidden="false" customHeight="true" outlineLevel="0" collapsed="false"/>
    <row r="3870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3" customFormat="false" ht="21.75" hidden="false" customHeight="true" outlineLevel="0" collapsed="false"/>
    <row r="3874" customFormat="false" ht="21.75" hidden="false" customHeight="true" outlineLevel="0" collapsed="false"/>
    <row r="3875" customFormat="false" ht="21.75" hidden="false" customHeight="true" outlineLevel="0" collapsed="false"/>
    <row r="3876" customFormat="false" ht="21.75" hidden="false" customHeight="true" outlineLevel="0" collapsed="false"/>
    <row r="3877" customFormat="false" ht="21.75" hidden="false" customHeight="true" outlineLevel="0" collapsed="false"/>
    <row r="3878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2" customFormat="false" ht="21.75" hidden="false" customHeight="true" outlineLevel="0" collapsed="false"/>
    <row r="3883" customFormat="false" ht="21.75" hidden="false" customHeight="true" outlineLevel="0" collapsed="false"/>
    <row r="3884" customFormat="false" ht="21.7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21.75" hidden="false" customHeight="true" outlineLevel="0" collapsed="false"/>
    <row r="3892" customFormat="false" ht="21.75" hidden="false" customHeight="true" outlineLevel="0" collapsed="false"/>
    <row r="3893" customFormat="false" ht="21.7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21.75" hidden="false" customHeight="true" outlineLevel="0" collapsed="false"/>
    <row r="3901" customFormat="false" ht="21.75" hidden="false" customHeight="true" outlineLevel="0" collapsed="false"/>
    <row r="3902" customFormat="false" ht="21.7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21.75" hidden="false" customHeight="true" outlineLevel="0" collapsed="false"/>
    <row r="3906" customFormat="false" ht="21.75" hidden="false" customHeight="true" outlineLevel="0" collapsed="false"/>
    <row r="3907" customFormat="false" ht="21.75" hidden="false" customHeight="true" outlineLevel="0" collapsed="false"/>
    <row r="3908" customFormat="false" ht="21.75" hidden="false" customHeight="true" outlineLevel="0" collapsed="false"/>
    <row r="3909" customFormat="false" ht="21.75" hidden="false" customHeight="true" outlineLevel="0" collapsed="false"/>
    <row r="3910" customFormat="false" ht="21.75" hidden="false" customHeight="true" outlineLevel="0" collapsed="false"/>
    <row r="3911" customFormat="false" ht="21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21.75" hidden="false" customHeight="true" outlineLevel="0" collapsed="false"/>
    <row r="3919" customFormat="false" ht="21.75" hidden="false" customHeight="true" outlineLevel="0" collapsed="false"/>
    <row r="3920" customFormat="false" ht="21.75" hidden="false" customHeight="true" outlineLevel="0" collapsed="false"/>
    <row r="3921" customFormat="false" ht="21.75" hidden="false" customHeight="true" outlineLevel="0" collapsed="false"/>
    <row r="3922" customFormat="false" ht="21.75" hidden="false" customHeight="true" outlineLevel="0" collapsed="false"/>
    <row r="3923" customFormat="false" ht="21.75" hidden="false" customHeight="true" outlineLevel="0" collapsed="false"/>
    <row r="3924" customFormat="false" ht="21.75" hidden="false" customHeight="true" outlineLevel="0" collapsed="false"/>
    <row r="3925" customFormat="false" ht="21.75" hidden="false" customHeight="true" outlineLevel="0" collapsed="false"/>
    <row r="3926" customFormat="false" ht="21.75" hidden="false" customHeight="true" outlineLevel="0" collapsed="false"/>
    <row r="3927" customFormat="false" ht="21.75" hidden="false" customHeight="true" outlineLevel="0" collapsed="false"/>
    <row r="3928" customFormat="false" ht="21.75" hidden="false" customHeight="true" outlineLevel="0" collapsed="false"/>
    <row r="3929" customFormat="false" ht="21.75" hidden="false" customHeight="true" outlineLevel="0" collapsed="false"/>
    <row r="3930" customFormat="false" ht="21.75" hidden="false" customHeight="true" outlineLevel="0" collapsed="false"/>
    <row r="3931" customFormat="false" ht="21.75" hidden="false" customHeight="true" outlineLevel="0" collapsed="false"/>
    <row r="3932" customFormat="false" ht="21.7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36" customFormat="false" ht="21.75" hidden="false" customHeight="true" outlineLevel="0" collapsed="false"/>
    <row r="3937" customFormat="false" ht="21.75" hidden="false" customHeight="true" outlineLevel="0" collapsed="false"/>
    <row r="3938" customFormat="false" ht="21.75" hidden="false" customHeight="true" outlineLevel="0" collapsed="false"/>
    <row r="3939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44" customFormat="false" ht="21.75" hidden="false" customHeight="true" outlineLevel="0" collapsed="false"/>
    <row r="3945" customFormat="false" ht="21.75" hidden="false" customHeight="true" outlineLevel="0" collapsed="false"/>
    <row r="3946" customFormat="false" ht="21.75" hidden="false" customHeight="true" outlineLevel="0" collapsed="false"/>
    <row r="3947" customFormat="false" ht="21.75" hidden="false" customHeight="true" outlineLevel="0" collapsed="false"/>
    <row r="3948" customFormat="false" ht="21.75" hidden="false" customHeight="true" outlineLevel="0" collapsed="false"/>
    <row r="3949" customFormat="false" ht="21.75" hidden="false" customHeight="true" outlineLevel="0" collapsed="false"/>
    <row r="3950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21.75" hidden="false" customHeight="true" outlineLevel="0" collapsed="false"/>
    <row r="3957" customFormat="false" ht="21.75" hidden="false" customHeight="true" outlineLevel="0" collapsed="false"/>
    <row r="3958" customFormat="false" ht="21.7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21.75" hidden="false" customHeight="true" outlineLevel="0" collapsed="false"/>
    <row r="3963" customFormat="false" ht="21.75" hidden="false" customHeight="true" outlineLevel="0" collapsed="false"/>
    <row r="3964" customFormat="false" ht="21.75" hidden="false" customHeight="true" outlineLevel="0" collapsed="false"/>
    <row r="3965" customFormat="false" ht="21.75" hidden="false" customHeight="true" outlineLevel="0" collapsed="false"/>
    <row r="3966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69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2" customFormat="false" ht="21.75" hidden="false" customHeight="true" outlineLevel="0" collapsed="false"/>
    <row r="3973" customFormat="false" ht="21.75" hidden="false" customHeight="true" outlineLevel="0" collapsed="false"/>
    <row r="3974" customFormat="false" ht="21.75" hidden="false" customHeight="true" outlineLevel="0" collapsed="false"/>
    <row r="3975" customFormat="false" ht="21.75" hidden="false" customHeight="true" outlineLevel="0" collapsed="false"/>
    <row r="3976" customFormat="false" ht="21.7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2" customFormat="false" ht="21.75" hidden="false" customHeight="true" outlineLevel="0" collapsed="false"/>
    <row r="3983" customFormat="false" ht="21.75" hidden="false" customHeight="true" outlineLevel="0" collapsed="false"/>
    <row r="3984" customFormat="false" ht="21.75" hidden="false" customHeight="true" outlineLevel="0" collapsed="false"/>
    <row r="3985" customFormat="false" ht="21.75" hidden="false" customHeight="true" outlineLevel="0" collapsed="false"/>
  </sheetData>
  <mergeCells count="127">
    <mergeCell ref="H462:I462"/>
    <mergeCell ref="H463:I463"/>
    <mergeCell ref="H464:I464"/>
    <mergeCell ref="H465:I465"/>
    <mergeCell ref="H466:I466"/>
    <mergeCell ref="H467:I467"/>
    <mergeCell ref="H468:I468"/>
    <mergeCell ref="H469:I469"/>
    <mergeCell ref="H470:I470"/>
    <mergeCell ref="H474:I474"/>
    <mergeCell ref="H475:I475"/>
    <mergeCell ref="H476:I476"/>
    <mergeCell ref="H477:I477"/>
    <mergeCell ref="H478:I478"/>
    <mergeCell ref="H481:I481"/>
    <mergeCell ref="H482:I482"/>
    <mergeCell ref="H483:I483"/>
    <mergeCell ref="H484:I484"/>
    <mergeCell ref="H485:I485"/>
    <mergeCell ref="H486:I486"/>
    <mergeCell ref="H487:I487"/>
    <mergeCell ref="H488:I488"/>
    <mergeCell ref="H489:I489"/>
    <mergeCell ref="H490:I490"/>
    <mergeCell ref="H491:I491"/>
    <mergeCell ref="H494:I494"/>
    <mergeCell ref="H495:I495"/>
    <mergeCell ref="H501:I501"/>
    <mergeCell ref="H502:I502"/>
    <mergeCell ref="H503:I503"/>
    <mergeCell ref="H505:I505"/>
    <mergeCell ref="H506:I506"/>
    <mergeCell ref="H507:I507"/>
    <mergeCell ref="H509:I509"/>
    <mergeCell ref="H510:I510"/>
    <mergeCell ref="H511:I511"/>
    <mergeCell ref="H512:I512"/>
    <mergeCell ref="H513:I513"/>
    <mergeCell ref="H514:I514"/>
    <mergeCell ref="H515:I515"/>
    <mergeCell ref="H516:I516"/>
    <mergeCell ref="H517:I517"/>
    <mergeCell ref="H518:I518"/>
    <mergeCell ref="H519:I519"/>
    <mergeCell ref="H520:I520"/>
    <mergeCell ref="H521:I521"/>
    <mergeCell ref="H524:I524"/>
    <mergeCell ref="H525:I525"/>
    <mergeCell ref="H526:I526"/>
    <mergeCell ref="H527:I527"/>
    <mergeCell ref="H528:I528"/>
    <mergeCell ref="H529:I529"/>
    <mergeCell ref="H530:I530"/>
    <mergeCell ref="H531:I531"/>
    <mergeCell ref="H532:I532"/>
    <mergeCell ref="H533:I533"/>
    <mergeCell ref="H534:I534"/>
    <mergeCell ref="H535:I535"/>
    <mergeCell ref="H536:I536"/>
    <mergeCell ref="H537:I537"/>
    <mergeCell ref="H538:I538"/>
    <mergeCell ref="H539:I539"/>
    <mergeCell ref="H551:I551"/>
    <mergeCell ref="H552:I552"/>
    <mergeCell ref="H553:I553"/>
    <mergeCell ref="H554:I554"/>
    <mergeCell ref="H555:I555"/>
    <mergeCell ref="H558:I558"/>
    <mergeCell ref="H559:I559"/>
    <mergeCell ref="H560:I560"/>
    <mergeCell ref="H561:I561"/>
    <mergeCell ref="H564:I564"/>
    <mergeCell ref="H565:I565"/>
    <mergeCell ref="H566:I566"/>
    <mergeCell ref="H567:I567"/>
    <mergeCell ref="H574:I574"/>
    <mergeCell ref="H575:I575"/>
    <mergeCell ref="H576:I576"/>
    <mergeCell ref="H577:I577"/>
    <mergeCell ref="H578:I578"/>
    <mergeCell ref="H579:I579"/>
    <mergeCell ref="H580:I580"/>
    <mergeCell ref="H581:I581"/>
    <mergeCell ref="H582:I582"/>
    <mergeCell ref="H591:I591"/>
    <mergeCell ref="H592:I592"/>
    <mergeCell ref="H593:I593"/>
    <mergeCell ref="H594:I594"/>
    <mergeCell ref="H596:I596"/>
    <mergeCell ref="H597:I597"/>
    <mergeCell ref="H599:I599"/>
    <mergeCell ref="H600:I600"/>
    <mergeCell ref="H601:I601"/>
    <mergeCell ref="H602:I602"/>
    <mergeCell ref="H603:I603"/>
    <mergeCell ref="H604:I604"/>
    <mergeCell ref="H605:I605"/>
    <mergeCell ref="H610:I610"/>
    <mergeCell ref="H612:I612"/>
    <mergeCell ref="H613:I613"/>
    <mergeCell ref="H614:I614"/>
    <mergeCell ref="H615:I615"/>
    <mergeCell ref="H618:I618"/>
    <mergeCell ref="H619:I619"/>
    <mergeCell ref="H620:I620"/>
    <mergeCell ref="H621:I621"/>
    <mergeCell ref="H622:I622"/>
    <mergeCell ref="H623:I623"/>
    <mergeCell ref="H624:I624"/>
    <mergeCell ref="H625:I625"/>
    <mergeCell ref="H630:I630"/>
    <mergeCell ref="H631:I631"/>
    <mergeCell ref="H632:I632"/>
    <mergeCell ref="H634:I634"/>
    <mergeCell ref="H635:I635"/>
    <mergeCell ref="H636:I636"/>
    <mergeCell ref="F1648:G1648"/>
    <mergeCell ref="F2388:G2388"/>
    <mergeCell ref="F2671:G2671"/>
    <mergeCell ref="F2678:G2678"/>
    <mergeCell ref="F2784:G2784"/>
    <mergeCell ref="F2877:G2877"/>
    <mergeCell ref="F2881:G2881"/>
    <mergeCell ref="G3012:H3012"/>
    <mergeCell ref="G3179:H3179"/>
    <mergeCell ref="F3278:G3278"/>
    <mergeCell ref="F3388:G3388"/>
  </mergeCells>
  <hyperlinks>
    <hyperlink ref="H43" r:id="rId1" display="t_388@hotmail. com"/>
    <hyperlink ref="H70" r:id="rId2" display="yestefans@hotmail.com"/>
    <hyperlink ref="H76" r:id="rId3" display="betsy_92@outlook.com"/>
    <hyperlink ref="H94" r:id="rId4" display="ajenelith_15_99@live.com"/>
    <hyperlink ref="H116" r:id="rId5" display="erikalorenavillamargarciagmail.com"/>
    <hyperlink ref="H156" r:id="rId6" display="fernandap90@Hotmail.com"/>
    <hyperlink ref="H371" r:id="rId7" display="katherine.hurtadoq@gmail.com"/>
    <hyperlink ref="H374" r:id="rId8" display="Mafer.z.r_1985@hotmail.com"/>
    <hyperlink ref="H375" r:id="rId9" display="johanitaeli1994@hotmail.com"/>
    <hyperlink ref="H417" r:id="rId10" display="leonelamendez@hotmail.com"/>
    <hyperlink ref="H480" r:id="rId11" display="vanessajacome1907@gmail.com"/>
    <hyperlink ref="H541" r:id="rId12" display="leonelamendez@hotmail.com"/>
    <hyperlink ref="H542" r:id="rId13" display="adrian10barcelona@outlook.com"/>
    <hyperlink ref="H646" r:id="rId14" display="angeljessi.1993_@hotmail.com"/>
    <hyperlink ref="H703" r:id="rId15" display="jesicabenavides@hotmail.com"/>
    <hyperlink ref="H713" r:id="rId16" display="diegoaucanshala71@gmail.com"/>
    <hyperlink ref="H769" r:id="rId17" display="aracely88_24@hotmail.com"/>
    <hyperlink ref="H831" r:id="rId18" display="david.romero.mendez@hotmail.com"/>
    <hyperlink ref="H833" r:id="rId19" display="vizueteandres.22@gmail.com"/>
    <hyperlink ref="H860" r:id="rId20" display="lb77953@gmail.com"/>
    <hyperlink ref="H943" r:id="rId21" display="yarythebest40@gmail.com"/>
    <hyperlink ref="H954" r:id="rId22" display="blanca.bermudez@edu.gob.ec"/>
    <hyperlink ref="H969" r:id="rId23" display="dayannajaramilloperez@gmail.com"/>
    <hyperlink ref="H1068" r:id="rId24" display="leolicoa1999@hotmail.com"/>
    <hyperlink ref="H1176" r:id="rId25" display="jenniferpatriciabrionesdelgado.com"/>
    <hyperlink ref="H1396" r:id="rId26" display="pamelaubillayepez@live.com"/>
    <hyperlink ref="H1466" r:id="rId27" display="rossyparrales88@gmail.com"/>
    <hyperlink ref="H1710" r:id="rId28" display="mahm11543@gmail.com"/>
    <hyperlink ref="H1711" r:id="rId29" display="laura-zam1@hotmail.com"/>
    <hyperlink ref="H1802" r:id="rId30" display="angeerivera00tircio@gmail.com"/>
    <hyperlink ref="H1903" r:id="rId31" display="flaquita_amor@outlook.es"/>
    <hyperlink ref="H1912" r:id="rId32" display="cainlema@outlook.com"/>
    <hyperlink ref="H1916" r:id="rId33" display="cainlema@outlook.com"/>
    <hyperlink ref="H2030" r:id="rId34" display="kelvin_rendon19@hotmail.com"/>
    <hyperlink ref="H2035" r:id="rId35" display="licdo_ivan_caseres@hotmail.com"/>
    <hyperlink ref="H2040" r:id="rId36" display="viniarce197@hotmail.com"/>
    <hyperlink ref="H2263" r:id="rId37" display="kevinjaviercruz@hotmail.com"/>
    <hyperlink ref="H2273" r:id="rId38" display="jarixavece@hotmail.com"/>
    <hyperlink ref="H2382" r:id="rId39" display="andreadelpozogaray1@gmail.com"/>
    <hyperlink ref="H2678" r:id="rId40" display="thebest-21@live.com"/>
    <hyperlink ref="H3296" r:id="rId41" display="Angelaus067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2.86"/>
    <col collapsed="false" customWidth="true" hidden="false" outlineLevel="0" max="3" min="3" style="0" width="10.99"/>
    <col collapsed="false" customWidth="true" hidden="false" outlineLevel="0" max="5" min="4" style="0" width="12.43"/>
    <col collapsed="false" customWidth="true" hidden="false" outlineLevel="0" max="6" min="6" style="0" width="22.29"/>
    <col collapsed="false" customWidth="true" hidden="false" outlineLevel="0" max="7" min="7" style="0" width="13.86"/>
    <col collapsed="false" customWidth="true" hidden="false" outlineLevel="0" max="8" min="8" style="0" width="28.57"/>
    <col collapsed="false" customWidth="true" hidden="false" outlineLevel="0" max="9" min="9" style="0" width="18"/>
    <col collapsed="false" customWidth="true" hidden="false" outlineLevel="0" max="10" min="10" style="0" width="26"/>
    <col collapsed="false" customWidth="true" hidden="false" outlineLevel="0" max="11" min="11" style="0" width="31.01"/>
    <col collapsed="false" customWidth="true" hidden="false" outlineLevel="0" max="12" min="12" style="0" width="14.43"/>
    <col collapsed="false" customWidth="true" hidden="false" outlineLevel="0" max="13" min="13" style="0" width="27.86"/>
    <col collapsed="false" customWidth="true" hidden="false" outlineLevel="0" max="14" min="14" style="0" width="19.14"/>
    <col collapsed="false" customWidth="true" hidden="false" outlineLevel="0" max="15" min="15" style="0" width="4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86" t="s">
        <v>7955</v>
      </c>
      <c r="B1" s="86" t="s">
        <v>0</v>
      </c>
      <c r="C1" s="86" t="s">
        <v>1</v>
      </c>
      <c r="D1" s="86" t="s">
        <v>7956</v>
      </c>
      <c r="E1" s="86" t="s">
        <v>3</v>
      </c>
      <c r="F1" s="86" t="s">
        <v>4</v>
      </c>
      <c r="G1" s="86" t="s">
        <v>5</v>
      </c>
      <c r="H1" s="86" t="s">
        <v>6</v>
      </c>
      <c r="I1" s="86" t="s">
        <v>7</v>
      </c>
      <c r="J1" s="86" t="s">
        <v>8</v>
      </c>
      <c r="K1" s="86" t="s">
        <v>9</v>
      </c>
      <c r="L1" s="87"/>
      <c r="M1" s="86" t="s">
        <v>7957</v>
      </c>
      <c r="N1" s="86" t="s">
        <v>7958</v>
      </c>
      <c r="O1" s="87"/>
    </row>
    <row r="2" customFormat="false" ht="15.75" hidden="false" customHeight="false" outlineLevel="0" collapsed="false">
      <c r="A2" s="88" t="n">
        <v>43440</v>
      </c>
      <c r="B2" s="87" t="s">
        <v>7959</v>
      </c>
      <c r="C2" s="87" t="s">
        <v>15</v>
      </c>
      <c r="D2" s="87" t="s">
        <v>16</v>
      </c>
      <c r="E2" s="87" t="s">
        <v>44</v>
      </c>
      <c r="F2" s="89" t="s">
        <v>7960</v>
      </c>
      <c r="G2" s="90" t="n">
        <v>996007894</v>
      </c>
      <c r="H2" s="90" t="s">
        <v>7961</v>
      </c>
      <c r="I2" s="90"/>
      <c r="J2" s="90"/>
      <c r="K2" s="90" t="s">
        <v>7962</v>
      </c>
      <c r="L2" s="87"/>
      <c r="M2" s="87" t="s">
        <v>7963</v>
      </c>
      <c r="N2" s="87" t="s">
        <v>21</v>
      </c>
      <c r="O2" s="87"/>
    </row>
    <row r="3" customFormat="false" ht="15.75" hidden="false" customHeight="false" outlineLevel="0" collapsed="false">
      <c r="A3" s="88" t="n">
        <v>43440</v>
      </c>
      <c r="B3" s="87" t="s">
        <v>7964</v>
      </c>
      <c r="C3" s="87" t="s">
        <v>15</v>
      </c>
      <c r="D3" s="87" t="s">
        <v>43</v>
      </c>
      <c r="E3" s="87" t="s">
        <v>44</v>
      </c>
      <c r="F3" s="87" t="s">
        <v>7965</v>
      </c>
      <c r="G3" s="87" t="n">
        <f aca="false">+595975410004</f>
        <v>595975410004</v>
      </c>
      <c r="H3" s="87" t="s">
        <v>7966</v>
      </c>
      <c r="I3" s="87" t="s">
        <v>7967</v>
      </c>
      <c r="J3" s="87" t="s">
        <v>7968</v>
      </c>
      <c r="K3" s="87" t="s">
        <v>7962</v>
      </c>
      <c r="L3" s="87"/>
      <c r="M3" s="87" t="s">
        <v>7963</v>
      </c>
      <c r="N3" s="87" t="s">
        <v>21</v>
      </c>
      <c r="O3" s="87"/>
    </row>
    <row r="4" customFormat="false" ht="15.75" hidden="false" customHeight="false" outlineLevel="0" collapsed="false">
      <c r="A4" s="88" t="n">
        <v>43440</v>
      </c>
      <c r="B4" s="87" t="s">
        <v>7969</v>
      </c>
      <c r="C4" s="87" t="s">
        <v>15</v>
      </c>
      <c r="D4" s="87" t="s">
        <v>43</v>
      </c>
      <c r="E4" s="87" t="s">
        <v>44</v>
      </c>
      <c r="F4" s="87" t="s">
        <v>7970</v>
      </c>
      <c r="G4" s="87" t="n">
        <f aca="false">+56992899413</f>
        <v>56992899413</v>
      </c>
      <c r="H4" s="87" t="s">
        <v>7971</v>
      </c>
      <c r="I4" s="87" t="s">
        <v>7972</v>
      </c>
      <c r="J4" s="87" t="s">
        <v>7973</v>
      </c>
      <c r="K4" s="87" t="s">
        <v>7962</v>
      </c>
      <c r="L4" s="87"/>
      <c r="M4" s="87" t="s">
        <v>7974</v>
      </c>
      <c r="N4" s="87" t="s">
        <v>2600</v>
      </c>
      <c r="O4" s="87"/>
    </row>
    <row r="5" customFormat="false" ht="15.75" hidden="false" customHeight="false" outlineLevel="0" collapsed="false">
      <c r="A5" s="88" t="n">
        <v>43440</v>
      </c>
      <c r="B5" s="87" t="s">
        <v>7964</v>
      </c>
      <c r="C5" s="87" t="s">
        <v>15</v>
      </c>
      <c r="D5" s="87" t="s">
        <v>43</v>
      </c>
      <c r="E5" s="87" t="s">
        <v>44</v>
      </c>
      <c r="F5" s="87" t="s">
        <v>7975</v>
      </c>
      <c r="G5" s="87" t="n">
        <f aca="false">+56947578659</f>
        <v>56947578659</v>
      </c>
      <c r="H5" s="87" t="s">
        <v>7976</v>
      </c>
      <c r="I5" s="87" t="s">
        <v>7977</v>
      </c>
      <c r="J5" s="87" t="s">
        <v>7973</v>
      </c>
      <c r="K5" s="87" t="s">
        <v>7978</v>
      </c>
      <c r="L5" s="87"/>
      <c r="M5" s="87" t="s">
        <v>7963</v>
      </c>
      <c r="N5" s="87" t="s">
        <v>21</v>
      </c>
      <c r="O5" s="87"/>
    </row>
    <row r="6" customFormat="false" ht="15.75" hidden="false" customHeight="false" outlineLevel="0" collapsed="false">
      <c r="A6" s="88" t="n">
        <v>43440</v>
      </c>
      <c r="B6" s="87" t="s">
        <v>7964</v>
      </c>
      <c r="C6" s="87" t="s">
        <v>15</v>
      </c>
      <c r="D6" s="87" t="s">
        <v>43</v>
      </c>
      <c r="E6" s="87" t="s">
        <v>44</v>
      </c>
      <c r="F6" s="87" t="s">
        <v>7979</v>
      </c>
      <c r="G6" s="87" t="n">
        <f aca="false">+56993072422</f>
        <v>56993072422</v>
      </c>
      <c r="H6" s="87" t="s">
        <v>7980</v>
      </c>
      <c r="I6" s="87" t="s">
        <v>7981</v>
      </c>
      <c r="J6" s="87" t="s">
        <v>7973</v>
      </c>
      <c r="K6" s="87" t="s">
        <v>7982</v>
      </c>
      <c r="L6" s="87"/>
      <c r="M6" s="87" t="s">
        <v>7983</v>
      </c>
      <c r="N6" s="87" t="s">
        <v>21</v>
      </c>
      <c r="O6" s="87"/>
    </row>
    <row r="7" customFormat="false" ht="15.75" hidden="false" customHeight="false" outlineLevel="0" collapsed="false">
      <c r="A7" s="88" t="n">
        <v>43440</v>
      </c>
      <c r="B7" s="90" t="s">
        <v>14</v>
      </c>
      <c r="C7" s="87" t="s">
        <v>15</v>
      </c>
      <c r="D7" s="87" t="s">
        <v>16</v>
      </c>
      <c r="E7" s="87" t="s">
        <v>44</v>
      </c>
      <c r="F7" s="87" t="s">
        <v>7984</v>
      </c>
      <c r="G7" s="87" t="n">
        <f aca="false">+51997076987</f>
        <v>51997076987</v>
      </c>
      <c r="H7" s="87" t="s">
        <v>7985</v>
      </c>
      <c r="I7" s="87" t="s">
        <v>7986</v>
      </c>
      <c r="J7" s="87" t="s">
        <v>7987</v>
      </c>
      <c r="K7" s="87" t="s">
        <v>7962</v>
      </c>
      <c r="L7" s="87"/>
      <c r="M7" s="87" t="s">
        <v>7983</v>
      </c>
      <c r="N7" s="87" t="s">
        <v>21</v>
      </c>
      <c r="O7" s="87"/>
    </row>
    <row r="8" customFormat="false" ht="15.75" hidden="false" customHeight="false" outlineLevel="0" collapsed="false">
      <c r="A8" s="88" t="n">
        <v>43440</v>
      </c>
      <c r="B8" s="90" t="s">
        <v>14</v>
      </c>
      <c r="C8" s="87" t="s">
        <v>15</v>
      </c>
      <c r="D8" s="87" t="s">
        <v>16</v>
      </c>
      <c r="E8" s="87" t="s">
        <v>44</v>
      </c>
      <c r="F8" s="87" t="s">
        <v>7988</v>
      </c>
      <c r="G8" s="87" t="n">
        <f aca="false">+560968297939</f>
        <v>560968297939</v>
      </c>
      <c r="H8" s="87" t="s">
        <v>7989</v>
      </c>
      <c r="I8" s="87" t="s">
        <v>7990</v>
      </c>
      <c r="J8" s="87" t="s">
        <v>7991</v>
      </c>
      <c r="K8" s="87" t="s">
        <v>7992</v>
      </c>
      <c r="L8" s="87"/>
      <c r="M8" s="87" t="s">
        <v>7983</v>
      </c>
      <c r="N8" s="87" t="s">
        <v>21</v>
      </c>
      <c r="O8" s="87"/>
    </row>
    <row r="9" customFormat="false" ht="15.75" hidden="false" customHeight="false" outlineLevel="0" collapsed="false">
      <c r="A9" s="88" t="n">
        <v>43440</v>
      </c>
      <c r="B9" s="90" t="s">
        <v>14</v>
      </c>
      <c r="C9" s="87" t="s">
        <v>7993</v>
      </c>
      <c r="D9" s="87" t="s">
        <v>16</v>
      </c>
      <c r="E9" s="87" t="s">
        <v>44</v>
      </c>
      <c r="F9" s="87" t="s">
        <v>7994</v>
      </c>
      <c r="G9" s="87" t="n">
        <f aca="false">+51916670652</f>
        <v>51916670652</v>
      </c>
      <c r="H9" s="87" t="s">
        <v>7995</v>
      </c>
      <c r="I9" s="87" t="s">
        <v>7996</v>
      </c>
      <c r="J9" s="87" t="s">
        <v>7997</v>
      </c>
      <c r="K9" s="87" t="s">
        <v>7998</v>
      </c>
      <c r="L9" s="87" t="s">
        <v>7999</v>
      </c>
      <c r="M9" s="87" t="s">
        <v>8000</v>
      </c>
      <c r="N9" s="87" t="s">
        <v>133</v>
      </c>
      <c r="O9" s="87"/>
    </row>
    <row r="10" customFormat="false" ht="15.75" hidden="false" customHeight="false" outlineLevel="0" collapsed="false">
      <c r="A10" s="88" t="n">
        <v>43440</v>
      </c>
      <c r="B10" s="90" t="s">
        <v>14</v>
      </c>
      <c r="C10" s="87" t="s">
        <v>15</v>
      </c>
      <c r="D10" s="87" t="s">
        <v>16</v>
      </c>
      <c r="E10" s="87" t="s">
        <v>44</v>
      </c>
      <c r="F10" s="87" t="s">
        <v>8001</v>
      </c>
      <c r="G10" s="87" t="n">
        <f aca="false">+51996504302</f>
        <v>51996504302</v>
      </c>
      <c r="H10" s="87" t="s">
        <v>8002</v>
      </c>
      <c r="I10" s="87" t="s">
        <v>7986</v>
      </c>
      <c r="J10" s="87" t="s">
        <v>8003</v>
      </c>
      <c r="K10" s="87" t="s">
        <v>7998</v>
      </c>
      <c r="L10" s="87" t="s">
        <v>7999</v>
      </c>
      <c r="M10" s="87" t="s">
        <v>7983</v>
      </c>
      <c r="N10" s="87" t="s">
        <v>21</v>
      </c>
      <c r="O10" s="87"/>
    </row>
    <row r="11" customFormat="false" ht="15.75" hidden="false" customHeight="false" outlineLevel="0" collapsed="false">
      <c r="A11" s="91" t="n">
        <v>43440</v>
      </c>
      <c r="B11" s="92" t="s">
        <v>8004</v>
      </c>
      <c r="C11" s="92" t="s">
        <v>15</v>
      </c>
      <c r="D11" s="92" t="s">
        <v>8005</v>
      </c>
      <c r="E11" s="92" t="s">
        <v>44</v>
      </c>
      <c r="F11" s="92" t="s">
        <v>8006</v>
      </c>
      <c r="G11" s="92" t="n">
        <f aca="false">+51999300054</f>
        <v>51999300054</v>
      </c>
      <c r="H11" s="92" t="s">
        <v>8007</v>
      </c>
      <c r="I11" s="92" t="s">
        <v>7986</v>
      </c>
      <c r="J11" s="92" t="s">
        <v>8008</v>
      </c>
      <c r="K11" s="87" t="s">
        <v>7962</v>
      </c>
      <c r="L11" s="87"/>
      <c r="M11" s="87" t="s">
        <v>7983</v>
      </c>
      <c r="N11" s="87" t="s">
        <v>21</v>
      </c>
      <c r="O11" s="87"/>
    </row>
    <row r="12" customFormat="false" ht="15.75" hidden="false" customHeight="false" outlineLevel="0" collapsed="false">
      <c r="A12" s="91" t="n">
        <v>43440</v>
      </c>
      <c r="B12" s="92" t="s">
        <v>8009</v>
      </c>
      <c r="C12" s="92" t="s">
        <v>15</v>
      </c>
      <c r="D12" s="92" t="s">
        <v>8005</v>
      </c>
      <c r="E12" s="92" t="s">
        <v>44</v>
      </c>
      <c r="F12" s="92" t="s">
        <v>8010</v>
      </c>
      <c r="G12" s="92" t="n">
        <f aca="false">+51925347300</f>
        <v>51925347300</v>
      </c>
      <c r="H12" s="92" t="s">
        <v>8011</v>
      </c>
      <c r="I12" s="92" t="s">
        <v>7986</v>
      </c>
      <c r="J12" s="92" t="s">
        <v>8008</v>
      </c>
      <c r="K12" s="87" t="s">
        <v>7998</v>
      </c>
      <c r="L12" s="87" t="s">
        <v>7999</v>
      </c>
      <c r="M12" s="87" t="s">
        <v>8012</v>
      </c>
      <c r="N12" s="87" t="s">
        <v>455</v>
      </c>
      <c r="O12" s="87"/>
    </row>
    <row r="13" customFormat="false" ht="15.75" hidden="false" customHeight="false" outlineLevel="0" collapsed="false">
      <c r="A13" s="88" t="n">
        <v>43441</v>
      </c>
      <c r="B13" s="87" t="s">
        <v>8013</v>
      </c>
      <c r="C13" s="87" t="s">
        <v>15</v>
      </c>
      <c r="D13" s="87" t="s">
        <v>43</v>
      </c>
      <c r="E13" s="87" t="s">
        <v>44</v>
      </c>
      <c r="F13" s="87" t="s">
        <v>8014</v>
      </c>
      <c r="G13" s="87" t="n">
        <f aca="false">+573015774224</f>
        <v>573015774224</v>
      </c>
      <c r="H13" s="87" t="s">
        <v>8015</v>
      </c>
      <c r="I13" s="87" t="s">
        <v>8016</v>
      </c>
      <c r="J13" s="87" t="s">
        <v>8017</v>
      </c>
      <c r="K13" s="87" t="s">
        <v>7962</v>
      </c>
      <c r="L13" s="87"/>
      <c r="M13" s="87" t="s">
        <v>7983</v>
      </c>
      <c r="N13" s="87" t="s">
        <v>21</v>
      </c>
      <c r="O13" s="87"/>
    </row>
    <row r="14" customFormat="false" ht="15.75" hidden="false" customHeight="false" outlineLevel="0" collapsed="false">
      <c r="A14" s="88" t="n">
        <v>43441</v>
      </c>
      <c r="B14" s="87" t="s">
        <v>8013</v>
      </c>
      <c r="C14" s="87" t="s">
        <v>15</v>
      </c>
      <c r="D14" s="87" t="s">
        <v>43</v>
      </c>
      <c r="E14" s="87" t="s">
        <v>44</v>
      </c>
      <c r="F14" s="87" t="s">
        <v>8018</v>
      </c>
      <c r="G14" s="87" t="n">
        <f aca="false">+5402996052271</f>
        <v>5402996052271</v>
      </c>
      <c r="H14" s="87" t="s">
        <v>8019</v>
      </c>
      <c r="I14" s="87" t="s">
        <v>8020</v>
      </c>
      <c r="J14" s="87" t="s">
        <v>8021</v>
      </c>
      <c r="K14" s="87" t="s">
        <v>7962</v>
      </c>
      <c r="L14" s="87"/>
      <c r="M14" s="87" t="s">
        <v>8022</v>
      </c>
      <c r="N14" s="87" t="s">
        <v>21</v>
      </c>
      <c r="O14" s="87"/>
    </row>
    <row r="15" customFormat="false" ht="15.75" hidden="false" customHeight="false" outlineLevel="0" collapsed="false">
      <c r="A15" s="88" t="n">
        <v>43441</v>
      </c>
      <c r="B15" s="87" t="s">
        <v>8013</v>
      </c>
      <c r="C15" s="87" t="s">
        <v>15</v>
      </c>
      <c r="D15" s="87" t="s">
        <v>43</v>
      </c>
      <c r="E15" s="87" t="s">
        <v>44</v>
      </c>
      <c r="F15" s="87" t="s">
        <v>8023</v>
      </c>
      <c r="G15" s="87" t="n">
        <f aca="false">+51995252504</f>
        <v>51995252504</v>
      </c>
      <c r="H15" s="87" t="s">
        <v>8024</v>
      </c>
      <c r="I15" s="87" t="s">
        <v>8025</v>
      </c>
      <c r="J15" s="87" t="s">
        <v>8003</v>
      </c>
      <c r="K15" s="87" t="s">
        <v>8026</v>
      </c>
      <c r="L15" s="87"/>
      <c r="M15" s="87" t="s">
        <v>7983</v>
      </c>
      <c r="N15" s="87" t="s">
        <v>21</v>
      </c>
      <c r="O15" s="87"/>
    </row>
    <row r="16" customFormat="false" ht="15.75" hidden="false" customHeight="false" outlineLevel="0" collapsed="false">
      <c r="A16" s="88" t="n">
        <v>43441</v>
      </c>
      <c r="B16" s="87" t="s">
        <v>8013</v>
      </c>
      <c r="C16" s="87" t="s">
        <v>15</v>
      </c>
      <c r="D16" s="87" t="s">
        <v>43</v>
      </c>
      <c r="E16" s="87" t="s">
        <v>44</v>
      </c>
      <c r="F16" s="87" t="s">
        <v>8027</v>
      </c>
      <c r="G16" s="87" t="n">
        <f aca="false">+543874026594</f>
        <v>543874026594</v>
      </c>
      <c r="H16" s="87" t="s">
        <v>8028</v>
      </c>
      <c r="I16" s="87" t="s">
        <v>8029</v>
      </c>
      <c r="J16" s="87" t="s">
        <v>8030</v>
      </c>
      <c r="K16" s="87" t="s">
        <v>7962</v>
      </c>
      <c r="L16" s="87"/>
      <c r="M16" s="87" t="s">
        <v>7983</v>
      </c>
      <c r="N16" s="87" t="s">
        <v>21</v>
      </c>
      <c r="O16" s="87"/>
    </row>
    <row r="17" customFormat="false" ht="15.75" hidden="false" customHeight="false" outlineLevel="0" collapsed="false">
      <c r="A17" s="88" t="n">
        <v>43441</v>
      </c>
      <c r="B17" s="87" t="s">
        <v>8013</v>
      </c>
      <c r="C17" s="87" t="s">
        <v>15</v>
      </c>
      <c r="D17" s="87" t="s">
        <v>43</v>
      </c>
      <c r="E17" s="87" t="s">
        <v>44</v>
      </c>
      <c r="F17" s="87" t="s">
        <v>8031</v>
      </c>
      <c r="G17" s="87" t="n">
        <f aca="false">+51949310967</f>
        <v>51949310967</v>
      </c>
      <c r="H17" s="87" t="s">
        <v>8032</v>
      </c>
      <c r="I17" s="87" t="s">
        <v>7986</v>
      </c>
      <c r="J17" s="87" t="s">
        <v>8003</v>
      </c>
      <c r="K17" s="87" t="s">
        <v>7962</v>
      </c>
      <c r="L17" s="87"/>
      <c r="M17" s="87" t="s">
        <v>7983</v>
      </c>
      <c r="N17" s="87" t="s">
        <v>21</v>
      </c>
      <c r="O17" s="87"/>
    </row>
    <row r="18" customFormat="false" ht="15.75" hidden="false" customHeight="false" outlineLevel="0" collapsed="false">
      <c r="A18" s="88" t="n">
        <v>43441</v>
      </c>
      <c r="B18" s="87" t="s">
        <v>8013</v>
      </c>
      <c r="C18" s="87" t="s">
        <v>15</v>
      </c>
      <c r="D18" s="87" t="s">
        <v>43</v>
      </c>
      <c r="E18" s="87" t="s">
        <v>44</v>
      </c>
      <c r="F18" s="87" t="s">
        <v>8033</v>
      </c>
      <c r="G18" s="87" t="n">
        <f aca="false">+51927635048</f>
        <v>51927635048</v>
      </c>
      <c r="H18" s="87" t="s">
        <v>8034</v>
      </c>
      <c r="I18" s="87" t="s">
        <v>7986</v>
      </c>
      <c r="J18" s="87" t="s">
        <v>8008</v>
      </c>
      <c r="K18" s="87" t="s">
        <v>8035</v>
      </c>
      <c r="L18" s="87"/>
      <c r="M18" s="87" t="s">
        <v>7963</v>
      </c>
      <c r="N18" s="87" t="s">
        <v>58</v>
      </c>
      <c r="O18" s="87"/>
    </row>
    <row r="19" customFormat="false" ht="15.75" hidden="false" customHeight="false" outlineLevel="0" collapsed="false">
      <c r="A19" s="88" t="n">
        <v>43441</v>
      </c>
      <c r="B19" s="87" t="s">
        <v>8013</v>
      </c>
      <c r="C19" s="87" t="s">
        <v>15</v>
      </c>
      <c r="D19" s="87" t="s">
        <v>43</v>
      </c>
      <c r="E19" s="87" t="s">
        <v>44</v>
      </c>
      <c r="F19" s="87" t="s">
        <v>8036</v>
      </c>
      <c r="G19" s="87" t="n">
        <f aca="false">+51935345595</f>
        <v>51935345595</v>
      </c>
      <c r="H19" s="87" t="s">
        <v>8037</v>
      </c>
      <c r="I19" s="87" t="s">
        <v>8038</v>
      </c>
      <c r="J19" s="87" t="s">
        <v>8008</v>
      </c>
      <c r="K19" s="87" t="s">
        <v>8039</v>
      </c>
      <c r="L19" s="87"/>
      <c r="M19" s="87" t="s">
        <v>8040</v>
      </c>
      <c r="N19" s="87" t="s">
        <v>2600</v>
      </c>
      <c r="O19" s="87"/>
    </row>
    <row r="20" customFormat="false" ht="15.75" hidden="false" customHeight="false" outlineLevel="0" collapsed="false">
      <c r="A20" s="88" t="n">
        <v>43441</v>
      </c>
      <c r="B20" s="87" t="s">
        <v>8041</v>
      </c>
      <c r="C20" s="87" t="s">
        <v>15</v>
      </c>
      <c r="D20" s="87" t="s">
        <v>43</v>
      </c>
      <c r="E20" s="87" t="s">
        <v>44</v>
      </c>
      <c r="F20" s="87" t="s">
        <v>8042</v>
      </c>
      <c r="G20" s="87" t="n">
        <f aca="false">+50762063312</f>
        <v>50762063312</v>
      </c>
      <c r="H20" s="87" t="s">
        <v>8043</v>
      </c>
      <c r="I20" s="87" t="s">
        <v>8044</v>
      </c>
      <c r="J20" s="87" t="s">
        <v>8045</v>
      </c>
      <c r="K20" s="87" t="s">
        <v>8046</v>
      </c>
      <c r="L20" s="87"/>
      <c r="M20" s="87" t="s">
        <v>8047</v>
      </c>
      <c r="N20" s="87" t="s">
        <v>8048</v>
      </c>
      <c r="O20" s="87"/>
    </row>
    <row r="21" customFormat="false" ht="15.75" hidden="false" customHeight="false" outlineLevel="0" collapsed="false">
      <c r="A21" s="88" t="n">
        <v>43441</v>
      </c>
      <c r="B21" s="87" t="s">
        <v>7969</v>
      </c>
      <c r="C21" s="87" t="s">
        <v>15</v>
      </c>
      <c r="D21" s="87" t="s">
        <v>43</v>
      </c>
      <c r="E21" s="87" t="s">
        <v>44</v>
      </c>
      <c r="F21" s="87" t="s">
        <v>8049</v>
      </c>
      <c r="G21" s="87" t="n">
        <f aca="false">+51948567677</f>
        <v>51948567677</v>
      </c>
      <c r="H21" s="87" t="s">
        <v>8050</v>
      </c>
      <c r="I21" s="87" t="s">
        <v>8051</v>
      </c>
      <c r="J21" s="87" t="s">
        <v>8008</v>
      </c>
      <c r="K21" s="87" t="s">
        <v>8046</v>
      </c>
      <c r="L21" s="87"/>
      <c r="M21" s="87" t="s">
        <v>7983</v>
      </c>
      <c r="N21" s="87" t="s">
        <v>58</v>
      </c>
      <c r="O21" s="87"/>
    </row>
    <row r="22" customFormat="false" ht="15.75" hidden="false" customHeight="false" outlineLevel="0" collapsed="false">
      <c r="A22" s="91" t="n">
        <v>43441</v>
      </c>
      <c r="B22" s="92" t="s">
        <v>8052</v>
      </c>
      <c r="C22" s="92" t="s">
        <v>15</v>
      </c>
      <c r="D22" s="92" t="s">
        <v>8005</v>
      </c>
      <c r="E22" s="92" t="s">
        <v>44</v>
      </c>
      <c r="F22" s="92" t="s">
        <v>8053</v>
      </c>
      <c r="G22" s="92" t="n">
        <f aca="false">+51979948756</f>
        <v>51979948756</v>
      </c>
      <c r="H22" s="92" t="s">
        <v>8054</v>
      </c>
      <c r="I22" s="92" t="s">
        <v>7986</v>
      </c>
      <c r="J22" s="92" t="s">
        <v>8008</v>
      </c>
      <c r="K22" s="87" t="s">
        <v>8046</v>
      </c>
      <c r="L22" s="87"/>
      <c r="M22" s="87" t="s">
        <v>5165</v>
      </c>
      <c r="N22" s="87" t="s">
        <v>7999</v>
      </c>
      <c r="O22" s="87"/>
    </row>
    <row r="23" customFormat="false" ht="15.75" hidden="false" customHeight="false" outlineLevel="0" collapsed="false">
      <c r="A23" s="91" t="n">
        <v>43441</v>
      </c>
      <c r="B23" s="92" t="s">
        <v>8004</v>
      </c>
      <c r="C23" s="92" t="s">
        <v>15</v>
      </c>
      <c r="D23" s="92" t="s">
        <v>8005</v>
      </c>
      <c r="E23" s="92" t="s">
        <v>44</v>
      </c>
      <c r="F23" s="92" t="s">
        <v>8055</v>
      </c>
      <c r="G23" s="92" t="n">
        <f aca="false">+51981290269</f>
        <v>51981290269</v>
      </c>
      <c r="H23" s="92" t="s">
        <v>8056</v>
      </c>
      <c r="I23" s="92" t="s">
        <v>7986</v>
      </c>
      <c r="J23" s="92" t="s">
        <v>8008</v>
      </c>
      <c r="K23" s="87" t="s">
        <v>8057</v>
      </c>
      <c r="L23" s="87" t="s">
        <v>7999</v>
      </c>
      <c r="M23" s="87" t="s">
        <v>7983</v>
      </c>
      <c r="N23" s="87" t="s">
        <v>58</v>
      </c>
      <c r="O23" s="87"/>
    </row>
    <row r="24" customFormat="false" ht="15.75" hidden="false" customHeight="false" outlineLevel="0" collapsed="false">
      <c r="A24" s="91" t="n">
        <v>43441</v>
      </c>
      <c r="B24" s="92" t="s">
        <v>8004</v>
      </c>
      <c r="C24" s="92" t="s">
        <v>15</v>
      </c>
      <c r="D24" s="92" t="s">
        <v>8005</v>
      </c>
      <c r="E24" s="92" t="s">
        <v>44</v>
      </c>
      <c r="F24" s="92" t="s">
        <v>8058</v>
      </c>
      <c r="G24" s="92" t="n">
        <f aca="false">+51998085717</f>
        <v>51998085717</v>
      </c>
      <c r="H24" s="92" t="s">
        <v>8059</v>
      </c>
      <c r="I24" s="92" t="s">
        <v>7997</v>
      </c>
      <c r="J24" s="92" t="s">
        <v>8060</v>
      </c>
      <c r="K24" s="87" t="s">
        <v>8046</v>
      </c>
      <c r="L24" s="87"/>
      <c r="M24" s="87" t="s">
        <v>7983</v>
      </c>
      <c r="N24" s="87" t="s">
        <v>58</v>
      </c>
      <c r="O24" s="87"/>
    </row>
    <row r="25" customFormat="false" ht="15.75" hidden="false" customHeight="false" outlineLevel="0" collapsed="false">
      <c r="A25" s="88" t="n">
        <v>43442</v>
      </c>
      <c r="B25" s="87" t="s">
        <v>8013</v>
      </c>
      <c r="C25" s="87" t="s">
        <v>15</v>
      </c>
      <c r="D25" s="87" t="s">
        <v>43</v>
      </c>
      <c r="E25" s="87" t="s">
        <v>8061</v>
      </c>
      <c r="F25" s="87" t="s">
        <v>8062</v>
      </c>
      <c r="G25" s="87" t="n">
        <f aca="false">+51997347819</f>
        <v>51997347819</v>
      </c>
      <c r="H25" s="87" t="s">
        <v>8063</v>
      </c>
      <c r="I25" s="87" t="s">
        <v>7986</v>
      </c>
      <c r="J25" s="87" t="s">
        <v>8064</v>
      </c>
      <c r="K25" s="87" t="s">
        <v>8046</v>
      </c>
      <c r="L25" s="87"/>
      <c r="M25" s="87" t="s">
        <v>5165</v>
      </c>
      <c r="N25" s="87" t="s">
        <v>7999</v>
      </c>
      <c r="O25" s="87"/>
    </row>
    <row r="26" customFormat="false" ht="15.75" hidden="false" customHeight="false" outlineLevel="0" collapsed="false">
      <c r="A26" s="88" t="n">
        <v>43442</v>
      </c>
      <c r="B26" s="87" t="s">
        <v>8013</v>
      </c>
      <c r="C26" s="87" t="s">
        <v>15</v>
      </c>
      <c r="D26" s="87" t="s">
        <v>43</v>
      </c>
      <c r="E26" s="87" t="s">
        <v>8061</v>
      </c>
      <c r="F26" s="87" t="s">
        <v>8065</v>
      </c>
      <c r="G26" s="87" t="n">
        <f aca="false">+56966771434</f>
        <v>56966771434</v>
      </c>
      <c r="H26" s="87" t="s">
        <v>8066</v>
      </c>
      <c r="I26" s="87" t="s">
        <v>8067</v>
      </c>
      <c r="J26" s="87" t="s">
        <v>8068</v>
      </c>
      <c r="K26" s="87" t="s">
        <v>8046</v>
      </c>
      <c r="L26" s="87"/>
      <c r="M26" s="87" t="s">
        <v>7983</v>
      </c>
      <c r="N26" s="87" t="s">
        <v>58</v>
      </c>
      <c r="O26" s="87"/>
    </row>
    <row r="27" customFormat="false" ht="15.75" hidden="false" customHeight="false" outlineLevel="0" collapsed="false">
      <c r="A27" s="88" t="n">
        <v>43442</v>
      </c>
      <c r="B27" s="87" t="s">
        <v>8013</v>
      </c>
      <c r="C27" s="87" t="s">
        <v>15</v>
      </c>
      <c r="D27" s="87" t="s">
        <v>43</v>
      </c>
      <c r="E27" s="87" t="s">
        <v>8061</v>
      </c>
      <c r="F27" s="87" t="s">
        <v>8069</v>
      </c>
      <c r="G27" s="87" t="n">
        <f aca="false">+543644601141</f>
        <v>543644601141</v>
      </c>
      <c r="H27" s="87" t="s">
        <v>8070</v>
      </c>
      <c r="I27" s="87" t="s">
        <v>8071</v>
      </c>
      <c r="J27" s="87" t="s">
        <v>8072</v>
      </c>
      <c r="K27" s="87" t="s">
        <v>8046</v>
      </c>
      <c r="L27" s="87"/>
      <c r="M27" s="87" t="s">
        <v>7983</v>
      </c>
      <c r="N27" s="87" t="s">
        <v>58</v>
      </c>
      <c r="O27" s="87"/>
    </row>
    <row r="28" customFormat="false" ht="15.75" hidden="false" customHeight="false" outlineLevel="0" collapsed="false">
      <c r="A28" s="91" t="n">
        <v>43442</v>
      </c>
      <c r="B28" s="92" t="s">
        <v>8052</v>
      </c>
      <c r="C28" s="92" t="s">
        <v>15</v>
      </c>
      <c r="D28" s="92" t="s">
        <v>8005</v>
      </c>
      <c r="E28" s="92" t="s">
        <v>8061</v>
      </c>
      <c r="F28" s="92" t="s">
        <v>8073</v>
      </c>
      <c r="G28" s="92" t="n">
        <f aca="false">+51959829038</f>
        <v>51959829038</v>
      </c>
      <c r="H28" s="92" t="s">
        <v>8074</v>
      </c>
      <c r="I28" s="92" t="s">
        <v>7986</v>
      </c>
      <c r="J28" s="92" t="s">
        <v>8008</v>
      </c>
      <c r="K28" s="87" t="s">
        <v>8075</v>
      </c>
      <c r="L28" s="87"/>
      <c r="M28" s="87" t="s">
        <v>3372</v>
      </c>
      <c r="N28" s="87" t="s">
        <v>58</v>
      </c>
      <c r="O28" s="87"/>
    </row>
    <row r="29" customFormat="false" ht="15.75" hidden="false" customHeight="false" outlineLevel="0" collapsed="false">
      <c r="A29" s="88" t="n">
        <v>43444</v>
      </c>
      <c r="B29" s="87" t="s">
        <v>81</v>
      </c>
      <c r="C29" s="87" t="s">
        <v>15</v>
      </c>
      <c r="D29" s="87" t="s">
        <v>43</v>
      </c>
      <c r="E29" s="87" t="s">
        <v>44</v>
      </c>
      <c r="F29" s="87" t="s">
        <v>8076</v>
      </c>
      <c r="G29" s="87" t="n">
        <f aca="false">+595983495199</f>
        <v>595983495199</v>
      </c>
      <c r="H29" s="87" t="s">
        <v>8077</v>
      </c>
      <c r="I29" s="87" t="s">
        <v>8078</v>
      </c>
      <c r="J29" s="87" t="s">
        <v>7968</v>
      </c>
      <c r="K29" s="87" t="s">
        <v>8046</v>
      </c>
      <c r="L29" s="87"/>
      <c r="M29" s="87" t="s">
        <v>3372</v>
      </c>
      <c r="N29" s="87" t="s">
        <v>58</v>
      </c>
      <c r="O29" s="87"/>
    </row>
    <row r="30" customFormat="false" ht="15.75" hidden="false" customHeight="false" outlineLevel="0" collapsed="false">
      <c r="A30" s="88" t="n">
        <v>43444</v>
      </c>
      <c r="B30" s="87" t="s">
        <v>8079</v>
      </c>
      <c r="C30" s="87" t="s">
        <v>15</v>
      </c>
      <c r="D30" s="87" t="s">
        <v>43</v>
      </c>
      <c r="E30" s="87" t="s">
        <v>44</v>
      </c>
      <c r="F30" s="87" t="s">
        <v>8080</v>
      </c>
      <c r="G30" s="87" t="n">
        <f aca="false">+51957395591</f>
        <v>51957395591</v>
      </c>
      <c r="H30" s="87" t="s">
        <v>8081</v>
      </c>
      <c r="I30" s="87" t="s">
        <v>7986</v>
      </c>
      <c r="J30" s="87" t="s">
        <v>8008</v>
      </c>
      <c r="K30" s="87" t="s">
        <v>8046</v>
      </c>
      <c r="L30" s="87"/>
      <c r="M30" s="87" t="s">
        <v>8082</v>
      </c>
      <c r="N30" s="87" t="s">
        <v>2600</v>
      </c>
      <c r="O30" s="87"/>
    </row>
    <row r="31" customFormat="false" ht="15.75" hidden="false" customHeight="false" outlineLevel="0" collapsed="false">
      <c r="A31" s="88" t="n">
        <v>43444</v>
      </c>
      <c r="B31" s="87" t="s">
        <v>8041</v>
      </c>
      <c r="C31" s="87" t="s">
        <v>15</v>
      </c>
      <c r="D31" s="87" t="s">
        <v>43</v>
      </c>
      <c r="E31" s="87" t="s">
        <v>44</v>
      </c>
      <c r="F31" s="87" t="s">
        <v>8083</v>
      </c>
      <c r="G31" s="87" t="n">
        <f aca="false">+573138276109</f>
        <v>573138276109</v>
      </c>
      <c r="H31" s="87" t="s">
        <v>8084</v>
      </c>
      <c r="I31" s="87" t="s">
        <v>8016</v>
      </c>
      <c r="J31" s="87" t="s">
        <v>8085</v>
      </c>
      <c r="K31" s="87" t="s">
        <v>8086</v>
      </c>
      <c r="L31" s="87"/>
      <c r="M31" s="87" t="s">
        <v>7983</v>
      </c>
      <c r="N31" s="87" t="s">
        <v>58</v>
      </c>
      <c r="O31" s="87"/>
    </row>
    <row r="32" customFormat="false" ht="15.75" hidden="false" customHeight="false" outlineLevel="0" collapsed="false">
      <c r="A32" s="88" t="n">
        <v>43444</v>
      </c>
      <c r="B32" s="87" t="s">
        <v>8013</v>
      </c>
      <c r="C32" s="87" t="s">
        <v>15</v>
      </c>
      <c r="D32" s="87" t="s">
        <v>43</v>
      </c>
      <c r="E32" s="87" t="s">
        <v>44</v>
      </c>
      <c r="F32" s="87" t="s">
        <v>8087</v>
      </c>
      <c r="G32" s="87" t="n">
        <f aca="false">+50769927576</f>
        <v>50769927576</v>
      </c>
      <c r="H32" s="87" t="s">
        <v>8088</v>
      </c>
      <c r="I32" s="87" t="s">
        <v>8044</v>
      </c>
      <c r="J32" s="87" t="s">
        <v>8045</v>
      </c>
      <c r="K32" s="87" t="s">
        <v>8089</v>
      </c>
      <c r="L32" s="87"/>
      <c r="M32" s="87" t="s">
        <v>7983</v>
      </c>
      <c r="N32" s="87" t="s">
        <v>58</v>
      </c>
      <c r="O32" s="87"/>
    </row>
    <row r="33" customFormat="false" ht="15.75" hidden="false" customHeight="false" outlineLevel="0" collapsed="false">
      <c r="A33" s="88" t="n">
        <v>43444</v>
      </c>
      <c r="B33" s="87" t="s">
        <v>7959</v>
      </c>
      <c r="C33" s="87" t="s">
        <v>15</v>
      </c>
      <c r="D33" s="90" t="s">
        <v>16</v>
      </c>
      <c r="E33" s="87" t="s">
        <v>44</v>
      </c>
      <c r="F33" s="87" t="s">
        <v>8090</v>
      </c>
      <c r="G33" s="87" t="n">
        <f aca="false">+51985972434</f>
        <v>51985972434</v>
      </c>
      <c r="H33" s="87" t="s">
        <v>8091</v>
      </c>
      <c r="I33" s="87" t="s">
        <v>7986</v>
      </c>
      <c r="J33" s="87" t="s">
        <v>8003</v>
      </c>
      <c r="K33" s="87" t="s">
        <v>8046</v>
      </c>
      <c r="L33" s="87"/>
      <c r="M33" s="87" t="s">
        <v>7983</v>
      </c>
      <c r="N33" s="87" t="s">
        <v>58</v>
      </c>
      <c r="O33" s="87"/>
    </row>
    <row r="34" customFormat="false" ht="15.75" hidden="false" customHeight="false" outlineLevel="0" collapsed="false">
      <c r="A34" s="88" t="n">
        <v>43444</v>
      </c>
      <c r="B34" s="87" t="s">
        <v>7959</v>
      </c>
      <c r="C34" s="87" t="s">
        <v>15</v>
      </c>
      <c r="D34" s="90" t="s">
        <v>16</v>
      </c>
      <c r="E34" s="87" t="s">
        <v>44</v>
      </c>
      <c r="F34" s="87" t="s">
        <v>8092</v>
      </c>
      <c r="G34" s="87" t="n">
        <f aca="false">+5717511036</f>
        <v>5717511036</v>
      </c>
      <c r="H34" s="87" t="s">
        <v>8093</v>
      </c>
      <c r="I34" s="87" t="s">
        <v>8016</v>
      </c>
      <c r="J34" s="87" t="s">
        <v>8094</v>
      </c>
      <c r="K34" s="87" t="s">
        <v>8095</v>
      </c>
      <c r="L34" s="87"/>
      <c r="M34" s="87" t="s">
        <v>7983</v>
      </c>
      <c r="N34" s="87" t="s">
        <v>58</v>
      </c>
      <c r="O34" s="87"/>
    </row>
    <row r="35" customFormat="false" ht="15.75" hidden="false" customHeight="false" outlineLevel="0" collapsed="false">
      <c r="A35" s="88" t="n">
        <v>43444</v>
      </c>
      <c r="B35" s="87" t="s">
        <v>7959</v>
      </c>
      <c r="C35" s="87" t="s">
        <v>15</v>
      </c>
      <c r="D35" s="90" t="s">
        <v>16</v>
      </c>
      <c r="E35" s="87" t="s">
        <v>44</v>
      </c>
      <c r="F35" s="87" t="s">
        <v>8096</v>
      </c>
      <c r="G35" s="87" t="n">
        <f aca="false">+51988954597</f>
        <v>51988954597</v>
      </c>
      <c r="H35" s="87" t="s">
        <v>8097</v>
      </c>
      <c r="I35" s="87" t="s">
        <v>7986</v>
      </c>
      <c r="J35" s="87" t="s">
        <v>7986</v>
      </c>
      <c r="K35" s="87" t="s">
        <v>8098</v>
      </c>
      <c r="L35" s="87"/>
      <c r="M35" s="87" t="s">
        <v>7983</v>
      </c>
      <c r="N35" s="87" t="s">
        <v>58</v>
      </c>
      <c r="O35" s="87"/>
    </row>
    <row r="36" customFormat="false" ht="15.75" hidden="false" customHeight="false" outlineLevel="0" collapsed="false">
      <c r="A36" s="88" t="n">
        <v>43444</v>
      </c>
      <c r="B36" s="87" t="s">
        <v>7959</v>
      </c>
      <c r="C36" s="87" t="s">
        <v>15</v>
      </c>
      <c r="D36" s="90" t="s">
        <v>16</v>
      </c>
      <c r="E36" s="87" t="s">
        <v>44</v>
      </c>
      <c r="F36" s="87" t="s">
        <v>8099</v>
      </c>
      <c r="G36" s="87" t="n">
        <f aca="false">+573166363269</f>
        <v>573166363269</v>
      </c>
      <c r="H36" s="87" t="s">
        <v>8100</v>
      </c>
      <c r="I36" s="87" t="s">
        <v>8101</v>
      </c>
      <c r="J36" s="87" t="s">
        <v>8102</v>
      </c>
      <c r="K36" s="87" t="s">
        <v>8098</v>
      </c>
      <c r="L36" s="87"/>
      <c r="M36" s="87" t="s">
        <v>8103</v>
      </c>
      <c r="N36" s="87" t="s">
        <v>455</v>
      </c>
      <c r="O36" s="87"/>
    </row>
    <row r="37" customFormat="false" ht="15.75" hidden="false" customHeight="false" outlineLevel="0" collapsed="false">
      <c r="A37" s="88" t="n">
        <v>43444</v>
      </c>
      <c r="B37" s="87" t="s">
        <v>7959</v>
      </c>
      <c r="C37" s="87" t="s">
        <v>15</v>
      </c>
      <c r="D37" s="90" t="s">
        <v>16</v>
      </c>
      <c r="E37" s="87" t="s">
        <v>44</v>
      </c>
      <c r="F37" s="87" t="s">
        <v>8104</v>
      </c>
      <c r="G37" s="87" t="n">
        <f aca="false">+59899791728</f>
        <v>59899791728</v>
      </c>
      <c r="H37" s="87" t="s">
        <v>8105</v>
      </c>
      <c r="I37" s="87" t="s">
        <v>8106</v>
      </c>
      <c r="J37" s="87" t="s">
        <v>8107</v>
      </c>
      <c r="K37" s="87" t="s">
        <v>8108</v>
      </c>
      <c r="L37" s="87" t="s">
        <v>7999</v>
      </c>
      <c r="M37" s="87" t="s">
        <v>8109</v>
      </c>
      <c r="N37" s="87" t="s">
        <v>8110</v>
      </c>
      <c r="O37" s="87"/>
    </row>
    <row r="38" customFormat="false" ht="15.75" hidden="false" customHeight="false" outlineLevel="0" collapsed="false">
      <c r="A38" s="88" t="n">
        <v>43444</v>
      </c>
      <c r="B38" s="87" t="s">
        <v>7959</v>
      </c>
      <c r="C38" s="87" t="s">
        <v>15</v>
      </c>
      <c r="D38" s="90" t="s">
        <v>16</v>
      </c>
      <c r="E38" s="87" t="s">
        <v>44</v>
      </c>
      <c r="F38" s="87" t="s">
        <v>8111</v>
      </c>
      <c r="G38" s="87" t="n">
        <f aca="false">+51992812188</f>
        <v>51992812188</v>
      </c>
      <c r="H38" s="87" t="s">
        <v>8112</v>
      </c>
      <c r="I38" s="87" t="s">
        <v>7986</v>
      </c>
      <c r="J38" s="87" t="s">
        <v>8113</v>
      </c>
      <c r="K38" s="87" t="s">
        <v>8114</v>
      </c>
      <c r="L38" s="87"/>
      <c r="M38" s="87" t="s">
        <v>3685</v>
      </c>
      <c r="N38" s="87" t="s">
        <v>133</v>
      </c>
      <c r="O38" s="87"/>
    </row>
    <row r="39" customFormat="false" ht="15.75" hidden="false" customHeight="false" outlineLevel="0" collapsed="false">
      <c r="A39" s="88" t="n">
        <v>43444</v>
      </c>
      <c r="B39" s="87" t="s">
        <v>7959</v>
      </c>
      <c r="C39" s="87" t="s">
        <v>15</v>
      </c>
      <c r="D39" s="90" t="s">
        <v>16</v>
      </c>
      <c r="E39" s="87" t="s">
        <v>44</v>
      </c>
      <c r="F39" s="87" t="s">
        <v>8115</v>
      </c>
      <c r="G39" s="87" t="n">
        <f aca="false">+50760892010</f>
        <v>50760892010</v>
      </c>
      <c r="H39" s="87" t="s">
        <v>8116</v>
      </c>
      <c r="I39" s="87" t="s">
        <v>8044</v>
      </c>
      <c r="J39" s="87" t="s">
        <v>8117</v>
      </c>
      <c r="K39" s="87" t="s">
        <v>8098</v>
      </c>
      <c r="L39" s="87"/>
      <c r="M39" s="87" t="s">
        <v>7983</v>
      </c>
      <c r="N39" s="87" t="s">
        <v>58</v>
      </c>
      <c r="O39" s="87"/>
    </row>
    <row r="40" customFormat="false" ht="15.75" hidden="false" customHeight="false" outlineLevel="0" collapsed="false">
      <c r="A40" s="88" t="n">
        <v>43444</v>
      </c>
      <c r="B40" s="87" t="s">
        <v>7959</v>
      </c>
      <c r="C40" s="87" t="s">
        <v>15</v>
      </c>
      <c r="D40" s="90" t="s">
        <v>16</v>
      </c>
      <c r="E40" s="87" t="s">
        <v>44</v>
      </c>
      <c r="F40" s="87" t="s">
        <v>8118</v>
      </c>
      <c r="G40" s="87" t="n">
        <f aca="false">+51995136944</f>
        <v>51995136944</v>
      </c>
      <c r="H40" s="87" t="s">
        <v>8119</v>
      </c>
      <c r="I40" s="87" t="s">
        <v>7997</v>
      </c>
      <c r="J40" s="87" t="s">
        <v>8120</v>
      </c>
      <c r="K40" s="87" t="s">
        <v>8121</v>
      </c>
      <c r="L40" s="87"/>
      <c r="M40" s="87" t="s">
        <v>8103</v>
      </c>
      <c r="N40" s="87" t="s">
        <v>455</v>
      </c>
      <c r="O40" s="87"/>
    </row>
    <row r="41" customFormat="false" ht="15.75" hidden="false" customHeight="false" outlineLevel="0" collapsed="false">
      <c r="A41" s="88" t="n">
        <v>43444</v>
      </c>
      <c r="B41" s="87" t="s">
        <v>7959</v>
      </c>
      <c r="C41" s="87" t="s">
        <v>15</v>
      </c>
      <c r="D41" s="90" t="s">
        <v>16</v>
      </c>
      <c r="E41" s="87" t="s">
        <v>44</v>
      </c>
      <c r="F41" s="87" t="s">
        <v>8122</v>
      </c>
      <c r="G41" s="87" t="n">
        <f aca="false">+51993083458</f>
        <v>51993083458</v>
      </c>
      <c r="H41" s="87" t="s">
        <v>8123</v>
      </c>
      <c r="I41" s="87" t="s">
        <v>8124</v>
      </c>
      <c r="J41" s="87" t="s">
        <v>8003</v>
      </c>
      <c r="K41" s="87" t="s">
        <v>8121</v>
      </c>
      <c r="L41" s="87"/>
      <c r="M41" s="87" t="s">
        <v>8103</v>
      </c>
      <c r="N41" s="87" t="s">
        <v>455</v>
      </c>
      <c r="O41" s="87"/>
    </row>
    <row r="42" customFormat="false" ht="15.75" hidden="false" customHeight="false" outlineLevel="0" collapsed="false">
      <c r="A42" s="88" t="n">
        <v>43444</v>
      </c>
      <c r="B42" s="87" t="s">
        <v>7959</v>
      </c>
      <c r="C42" s="87" t="s">
        <v>15</v>
      </c>
      <c r="D42" s="90" t="s">
        <v>16</v>
      </c>
      <c r="E42" s="87" t="s">
        <v>44</v>
      </c>
      <c r="F42" s="87" t="s">
        <v>8125</v>
      </c>
      <c r="G42" s="87" t="n">
        <f aca="false">+595972945578</f>
        <v>595972945578</v>
      </c>
      <c r="H42" s="87" t="s">
        <v>8126</v>
      </c>
      <c r="I42" s="87" t="s">
        <v>8127</v>
      </c>
      <c r="J42" s="87" t="s">
        <v>8128</v>
      </c>
      <c r="K42" s="87" t="s">
        <v>8098</v>
      </c>
      <c r="L42" s="87"/>
      <c r="M42" s="87" t="s">
        <v>7983</v>
      </c>
      <c r="N42" s="87" t="s">
        <v>58</v>
      </c>
      <c r="O42" s="87"/>
    </row>
    <row r="43" customFormat="false" ht="15.75" hidden="false" customHeight="false" outlineLevel="0" collapsed="false">
      <c r="A43" s="88" t="n">
        <v>43444</v>
      </c>
      <c r="B43" s="87" t="s">
        <v>7959</v>
      </c>
      <c r="C43" s="87" t="s">
        <v>15</v>
      </c>
      <c r="D43" s="90" t="s">
        <v>16</v>
      </c>
      <c r="E43" s="87" t="s">
        <v>44</v>
      </c>
      <c r="F43" s="87" t="s">
        <v>8129</v>
      </c>
      <c r="G43" s="87" t="n">
        <f aca="false">+560973883044</f>
        <v>560973883044</v>
      </c>
      <c r="H43" s="87" t="s">
        <v>8130</v>
      </c>
      <c r="I43" s="87" t="s">
        <v>8131</v>
      </c>
      <c r="J43" s="87" t="s">
        <v>7977</v>
      </c>
      <c r="K43" s="87" t="s">
        <v>8046</v>
      </c>
      <c r="L43" s="87"/>
      <c r="M43" s="87" t="s">
        <v>7983</v>
      </c>
      <c r="N43" s="87" t="s">
        <v>58</v>
      </c>
      <c r="O43" s="87"/>
    </row>
    <row r="44" customFormat="false" ht="15.75" hidden="false" customHeight="false" outlineLevel="0" collapsed="false">
      <c r="A44" s="91" t="n">
        <v>43444</v>
      </c>
      <c r="B44" s="92" t="s">
        <v>8052</v>
      </c>
      <c r="C44" s="92" t="s">
        <v>15</v>
      </c>
      <c r="D44" s="92" t="s">
        <v>8005</v>
      </c>
      <c r="E44" s="92" t="s">
        <v>44</v>
      </c>
      <c r="F44" s="92" t="s">
        <v>8132</v>
      </c>
      <c r="G44" s="92" t="n">
        <f aca="false">+573045774699</f>
        <v>573045774699</v>
      </c>
      <c r="H44" s="92" t="s">
        <v>8133</v>
      </c>
      <c r="I44" s="92" t="s">
        <v>8134</v>
      </c>
      <c r="J44" s="92" t="s">
        <v>8085</v>
      </c>
      <c r="K44" s="87" t="s">
        <v>8046</v>
      </c>
      <c r="L44" s="87"/>
      <c r="M44" s="87" t="s">
        <v>8135</v>
      </c>
      <c r="N44" s="87" t="s">
        <v>8136</v>
      </c>
      <c r="O44" s="87"/>
    </row>
    <row r="45" customFormat="false" ht="15.75" hidden="false" customHeight="false" outlineLevel="0" collapsed="false">
      <c r="A45" s="91" t="n">
        <v>43444</v>
      </c>
      <c r="B45" s="92" t="s">
        <v>8052</v>
      </c>
      <c r="C45" s="92" t="s">
        <v>15</v>
      </c>
      <c r="D45" s="92" t="s">
        <v>8005</v>
      </c>
      <c r="E45" s="92" t="s">
        <v>44</v>
      </c>
      <c r="F45" s="92" t="s">
        <v>8137</v>
      </c>
      <c r="G45" s="92" t="n">
        <f aca="false">+51952340439</f>
        <v>51952340439</v>
      </c>
      <c r="H45" s="92" t="s">
        <v>8138</v>
      </c>
      <c r="I45" s="92" t="s">
        <v>8139</v>
      </c>
      <c r="J45" s="92" t="s">
        <v>8008</v>
      </c>
      <c r="K45" s="87" t="s">
        <v>8140</v>
      </c>
      <c r="L45" s="87"/>
      <c r="M45" s="87" t="s">
        <v>8141</v>
      </c>
      <c r="N45" s="87" t="s">
        <v>126</v>
      </c>
      <c r="O45" s="87"/>
    </row>
    <row r="46" customFormat="false" ht="15.75" hidden="false" customHeight="false" outlineLevel="0" collapsed="false">
      <c r="A46" s="91" t="n">
        <v>43444</v>
      </c>
      <c r="B46" s="92" t="s">
        <v>8142</v>
      </c>
      <c r="C46" s="92" t="s">
        <v>15</v>
      </c>
      <c r="D46" s="92" t="s">
        <v>8005</v>
      </c>
      <c r="E46" s="92" t="s">
        <v>44</v>
      </c>
      <c r="F46" s="92" t="s">
        <v>8143</v>
      </c>
      <c r="G46" s="92" t="n">
        <f aca="false">+51974218531</f>
        <v>51974218531</v>
      </c>
      <c r="H46" s="92" t="s">
        <v>8144</v>
      </c>
      <c r="I46" s="92" t="s">
        <v>8145</v>
      </c>
      <c r="J46" s="92" t="s">
        <v>8008</v>
      </c>
      <c r="K46" s="87" t="s">
        <v>8146</v>
      </c>
      <c r="L46" s="87"/>
      <c r="M46" s="87" t="s">
        <v>5168</v>
      </c>
      <c r="N46" s="87" t="s">
        <v>8147</v>
      </c>
      <c r="O46" s="87"/>
    </row>
    <row r="47" customFormat="false" ht="15.75" hidden="false" customHeight="false" outlineLevel="0" collapsed="false">
      <c r="A47" s="91" t="n">
        <v>43444</v>
      </c>
      <c r="B47" s="92" t="s">
        <v>8142</v>
      </c>
      <c r="C47" s="92" t="s">
        <v>15</v>
      </c>
      <c r="D47" s="92" t="s">
        <v>8005</v>
      </c>
      <c r="E47" s="92" t="s">
        <v>44</v>
      </c>
      <c r="F47" s="92" t="s">
        <v>8148</v>
      </c>
      <c r="G47" s="92" t="n">
        <f aca="false">+56998852669</f>
        <v>56998852669</v>
      </c>
      <c r="H47" s="92" t="s">
        <v>8149</v>
      </c>
      <c r="I47" s="92" t="s">
        <v>7977</v>
      </c>
      <c r="J47" s="92" t="s">
        <v>7973</v>
      </c>
      <c r="K47" s="87" t="s">
        <v>8057</v>
      </c>
      <c r="L47" s="87" t="s">
        <v>7999</v>
      </c>
      <c r="M47" s="87" t="s">
        <v>3491</v>
      </c>
      <c r="N47" s="87" t="s">
        <v>133</v>
      </c>
      <c r="O47" s="87"/>
    </row>
    <row r="48" customFormat="false" ht="15.75" hidden="false" customHeight="false" outlineLevel="0" collapsed="false">
      <c r="A48" s="91" t="n">
        <v>43444</v>
      </c>
      <c r="B48" s="92" t="s">
        <v>8004</v>
      </c>
      <c r="C48" s="92" t="s">
        <v>15</v>
      </c>
      <c r="D48" s="92" t="s">
        <v>8005</v>
      </c>
      <c r="E48" s="92" t="s">
        <v>44</v>
      </c>
      <c r="F48" s="92" t="s">
        <v>8150</v>
      </c>
      <c r="G48" s="92" t="n">
        <f aca="false">+51943754029</f>
        <v>51943754029</v>
      </c>
      <c r="H48" s="92" t="s">
        <v>8151</v>
      </c>
      <c r="I48" s="92" t="s">
        <v>8152</v>
      </c>
      <c r="J48" s="92" t="s">
        <v>8008</v>
      </c>
      <c r="K48" s="87" t="s">
        <v>8057</v>
      </c>
      <c r="L48" s="87" t="s">
        <v>7999</v>
      </c>
      <c r="M48" s="87" t="s">
        <v>37</v>
      </c>
      <c r="N48" s="87" t="s">
        <v>133</v>
      </c>
      <c r="O48" s="87"/>
    </row>
    <row r="49" customFormat="false" ht="15.75" hidden="false" customHeight="false" outlineLevel="0" collapsed="false">
      <c r="A49" s="91" t="n">
        <v>43444</v>
      </c>
      <c r="B49" s="92" t="s">
        <v>8004</v>
      </c>
      <c r="C49" s="92" t="s">
        <v>15</v>
      </c>
      <c r="D49" s="92" t="s">
        <v>8005</v>
      </c>
      <c r="E49" s="92" t="s">
        <v>44</v>
      </c>
      <c r="F49" s="92" t="s">
        <v>8153</v>
      </c>
      <c r="G49" s="92" t="n">
        <f aca="false">+51999335465</f>
        <v>51999335465</v>
      </c>
      <c r="H49" s="92" t="s">
        <v>8154</v>
      </c>
      <c r="I49" s="92" t="s">
        <v>7986</v>
      </c>
      <c r="J49" s="92" t="s">
        <v>8008</v>
      </c>
      <c r="K49" s="87" t="s">
        <v>8098</v>
      </c>
      <c r="L49" s="87"/>
      <c r="M49" s="87" t="s">
        <v>8155</v>
      </c>
      <c r="N49" s="87" t="s">
        <v>58</v>
      </c>
      <c r="O49" s="87"/>
    </row>
    <row r="50" customFormat="false" ht="15.75" hidden="false" customHeight="false" outlineLevel="0" collapsed="false">
      <c r="A50" s="91" t="n">
        <v>43444</v>
      </c>
      <c r="B50" s="92" t="s">
        <v>8004</v>
      </c>
      <c r="C50" s="92" t="s">
        <v>15</v>
      </c>
      <c r="D50" s="92" t="s">
        <v>8005</v>
      </c>
      <c r="E50" s="92" t="s">
        <v>44</v>
      </c>
      <c r="F50" s="92" t="s">
        <v>8156</v>
      </c>
      <c r="G50" s="92" t="n">
        <f aca="false">+50768626822</f>
        <v>50768626822</v>
      </c>
      <c r="H50" s="92" t="s">
        <v>8157</v>
      </c>
      <c r="I50" s="92" t="s">
        <v>8044</v>
      </c>
      <c r="J50" s="92" t="s">
        <v>8045</v>
      </c>
      <c r="K50" s="87" t="s">
        <v>8098</v>
      </c>
      <c r="L50" s="87"/>
      <c r="M50" s="87" t="s">
        <v>8158</v>
      </c>
      <c r="N50" s="87" t="s">
        <v>2600</v>
      </c>
      <c r="O50" s="87"/>
    </row>
    <row r="51" customFormat="false" ht="15.75" hidden="false" customHeight="false" outlineLevel="0" collapsed="false">
      <c r="A51" s="88" t="n">
        <v>43444</v>
      </c>
      <c r="B51" s="87" t="s">
        <v>7959</v>
      </c>
      <c r="C51" s="87" t="s">
        <v>15</v>
      </c>
      <c r="D51" s="90" t="s">
        <v>16</v>
      </c>
      <c r="E51" s="87" t="s">
        <v>44</v>
      </c>
      <c r="F51" s="89" t="s">
        <v>8159</v>
      </c>
      <c r="G51" s="90" t="s">
        <v>8160</v>
      </c>
      <c r="H51" s="90" t="s">
        <v>8161</v>
      </c>
      <c r="I51" s="90" t="s">
        <v>8161</v>
      </c>
      <c r="J51" s="87"/>
      <c r="K51" s="87" t="s">
        <v>8046</v>
      </c>
      <c r="L51" s="87"/>
      <c r="M51" s="87" t="s">
        <v>7983</v>
      </c>
      <c r="N51" s="87" t="s">
        <v>58</v>
      </c>
      <c r="O51" s="87"/>
    </row>
    <row r="52" customFormat="false" ht="15.75" hidden="false" customHeight="false" outlineLevel="0" collapsed="false">
      <c r="A52" s="88" t="n">
        <v>43445</v>
      </c>
      <c r="B52" s="87" t="s">
        <v>81</v>
      </c>
      <c r="C52" s="87" t="s">
        <v>15</v>
      </c>
      <c r="D52" s="87" t="s">
        <v>43</v>
      </c>
      <c r="E52" s="87" t="s">
        <v>44</v>
      </c>
      <c r="F52" s="87" t="s">
        <v>8162</v>
      </c>
      <c r="G52" s="87" t="n">
        <f aca="false">+56953493227</f>
        <v>56953493227</v>
      </c>
      <c r="H52" s="87" t="s">
        <v>8163</v>
      </c>
      <c r="I52" s="87" t="s">
        <v>8164</v>
      </c>
      <c r="J52" s="90"/>
      <c r="K52" s="90" t="s">
        <v>8046</v>
      </c>
      <c r="L52" s="87"/>
      <c r="M52" s="87" t="s">
        <v>5165</v>
      </c>
      <c r="N52" s="87" t="s">
        <v>2600</v>
      </c>
      <c r="O52" s="87"/>
    </row>
    <row r="53" customFormat="false" ht="15.75" hidden="false" customHeight="false" outlineLevel="0" collapsed="false">
      <c r="A53" s="88" t="n">
        <v>43445</v>
      </c>
      <c r="B53" s="87" t="s">
        <v>8013</v>
      </c>
      <c r="C53" s="87" t="s">
        <v>15</v>
      </c>
      <c r="D53" s="87" t="s">
        <v>43</v>
      </c>
      <c r="E53" s="87" t="s">
        <v>44</v>
      </c>
      <c r="F53" s="87" t="s">
        <v>8165</v>
      </c>
      <c r="G53" s="87" t="n">
        <f aca="false">+59896483935</f>
        <v>59896483935</v>
      </c>
      <c r="H53" s="87" t="s">
        <v>8166</v>
      </c>
      <c r="I53" s="87" t="s">
        <v>8167</v>
      </c>
      <c r="J53" s="90"/>
      <c r="K53" s="90" t="s">
        <v>5165</v>
      </c>
      <c r="L53" s="87"/>
      <c r="M53" s="87" t="s">
        <v>8168</v>
      </c>
      <c r="N53" s="87" t="s">
        <v>133</v>
      </c>
      <c r="O53" s="87"/>
    </row>
    <row r="54" customFormat="false" ht="15.75" hidden="false" customHeight="false" outlineLevel="0" collapsed="false">
      <c r="A54" s="88" t="n">
        <v>43445</v>
      </c>
      <c r="B54" s="87" t="s">
        <v>8013</v>
      </c>
      <c r="C54" s="87" t="s">
        <v>15</v>
      </c>
      <c r="D54" s="87" t="s">
        <v>43</v>
      </c>
      <c r="E54" s="87" t="s">
        <v>44</v>
      </c>
      <c r="F54" s="87" t="s">
        <v>8169</v>
      </c>
      <c r="G54" s="87" t="n">
        <f aca="false">+595992677292</f>
        <v>595992677292</v>
      </c>
      <c r="H54" s="87" t="s">
        <v>8170</v>
      </c>
      <c r="I54" s="87" t="s">
        <v>8171</v>
      </c>
      <c r="J54" s="87" t="s">
        <v>7973</v>
      </c>
      <c r="K54" s="87" t="s">
        <v>8172</v>
      </c>
      <c r="L54" s="87"/>
      <c r="M54" s="87" t="s">
        <v>7983</v>
      </c>
      <c r="N54" s="87" t="s">
        <v>58</v>
      </c>
      <c r="O54" s="87"/>
    </row>
    <row r="55" customFormat="false" ht="15.75" hidden="false" customHeight="false" outlineLevel="0" collapsed="false">
      <c r="A55" s="88" t="n">
        <v>43445</v>
      </c>
      <c r="B55" s="87" t="s">
        <v>8173</v>
      </c>
      <c r="C55" s="87" t="s">
        <v>15</v>
      </c>
      <c r="D55" s="87" t="s">
        <v>43</v>
      </c>
      <c r="E55" s="87" t="s">
        <v>44</v>
      </c>
      <c r="F55" s="87" t="s">
        <v>8174</v>
      </c>
      <c r="G55" s="87" t="n">
        <f aca="false">+51933727146</f>
        <v>51933727146</v>
      </c>
      <c r="H55" s="87" t="s">
        <v>8175</v>
      </c>
      <c r="I55" s="87" t="s">
        <v>7986</v>
      </c>
      <c r="J55" s="87" t="s">
        <v>8176</v>
      </c>
      <c r="K55" s="87" t="s">
        <v>8177</v>
      </c>
      <c r="L55" s="87"/>
      <c r="M55" s="87" t="s">
        <v>5165</v>
      </c>
      <c r="N55" s="87" t="s">
        <v>2600</v>
      </c>
      <c r="O55" s="87"/>
    </row>
    <row r="56" customFormat="false" ht="15.75" hidden="false" customHeight="false" outlineLevel="0" collapsed="false">
      <c r="A56" s="88" t="n">
        <v>43445</v>
      </c>
      <c r="B56" s="87" t="s">
        <v>8013</v>
      </c>
      <c r="C56" s="87" t="s">
        <v>15</v>
      </c>
      <c r="D56" s="87" t="s">
        <v>43</v>
      </c>
      <c r="E56" s="87" t="s">
        <v>44</v>
      </c>
      <c r="F56" s="87" t="s">
        <v>8178</v>
      </c>
      <c r="G56" s="87" t="n">
        <f aca="false">+51997461886</f>
        <v>51997461886</v>
      </c>
      <c r="H56" s="87" t="s">
        <v>8179</v>
      </c>
      <c r="I56" s="87" t="s">
        <v>7986</v>
      </c>
      <c r="J56" s="87" t="s">
        <v>7968</v>
      </c>
      <c r="K56" s="87" t="s">
        <v>7983</v>
      </c>
      <c r="L56" s="87"/>
      <c r="M56" s="87" t="s">
        <v>133</v>
      </c>
      <c r="N56" s="87" t="s">
        <v>133</v>
      </c>
      <c r="O56" s="87"/>
    </row>
    <row r="57" customFormat="false" ht="15.75" hidden="false" customHeight="false" outlineLevel="0" collapsed="false">
      <c r="A57" s="88" t="n">
        <v>43445</v>
      </c>
      <c r="B57" s="87" t="s">
        <v>8013</v>
      </c>
      <c r="C57" s="87" t="s">
        <v>15</v>
      </c>
      <c r="D57" s="90" t="s">
        <v>16</v>
      </c>
      <c r="E57" s="87" t="s">
        <v>44</v>
      </c>
      <c r="F57" s="87" t="s">
        <v>8180</v>
      </c>
      <c r="G57" s="87" t="n">
        <f aca="false">+56992904416</f>
        <v>56992904416</v>
      </c>
      <c r="H57" s="87" t="s">
        <v>8181</v>
      </c>
      <c r="I57" s="87" t="s">
        <v>8182</v>
      </c>
      <c r="J57" s="87" t="s">
        <v>8183</v>
      </c>
      <c r="K57" s="87" t="s">
        <v>8184</v>
      </c>
      <c r="L57" s="87"/>
      <c r="M57" s="87" t="s">
        <v>8109</v>
      </c>
      <c r="N57" s="87" t="s">
        <v>8110</v>
      </c>
      <c r="O57" s="87"/>
    </row>
    <row r="58" customFormat="false" ht="15.75" hidden="false" customHeight="false" outlineLevel="0" collapsed="false">
      <c r="A58" s="88" t="n">
        <v>43445</v>
      </c>
      <c r="B58" s="87" t="s">
        <v>8013</v>
      </c>
      <c r="C58" s="87" t="s">
        <v>15</v>
      </c>
      <c r="D58" s="90" t="s">
        <v>16</v>
      </c>
      <c r="E58" s="87" t="s">
        <v>44</v>
      </c>
      <c r="F58" s="87" t="s">
        <v>8185</v>
      </c>
      <c r="G58" s="87" t="n">
        <f aca="false">+51986659961</f>
        <v>51986659961</v>
      </c>
      <c r="H58" s="87" t="s">
        <v>8186</v>
      </c>
      <c r="I58" s="87" t="s">
        <v>7986</v>
      </c>
      <c r="J58" s="87" t="s">
        <v>8003</v>
      </c>
      <c r="K58" s="87" t="s">
        <v>8187</v>
      </c>
      <c r="L58" s="87"/>
      <c r="M58" s="87" t="s">
        <v>8187</v>
      </c>
      <c r="N58" s="87" t="s">
        <v>455</v>
      </c>
      <c r="O58" s="87"/>
    </row>
    <row r="59" customFormat="false" ht="15.75" hidden="false" customHeight="false" outlineLevel="0" collapsed="false">
      <c r="A59" s="88" t="n">
        <v>43445</v>
      </c>
      <c r="B59" s="87" t="s">
        <v>8013</v>
      </c>
      <c r="C59" s="87" t="s">
        <v>15</v>
      </c>
      <c r="D59" s="90" t="s">
        <v>16</v>
      </c>
      <c r="E59" s="87" t="s">
        <v>44</v>
      </c>
      <c r="F59" s="87" t="s">
        <v>8188</v>
      </c>
      <c r="G59" s="87" t="n">
        <f aca="false">+51983737067</f>
        <v>51983737067</v>
      </c>
      <c r="H59" s="87" t="s">
        <v>8189</v>
      </c>
      <c r="I59" s="87" t="s">
        <v>7986</v>
      </c>
      <c r="J59" s="87" t="s">
        <v>8190</v>
      </c>
      <c r="K59" s="87" t="s">
        <v>7983</v>
      </c>
      <c r="L59" s="87"/>
      <c r="M59" s="87" t="s">
        <v>8103</v>
      </c>
      <c r="N59" s="87" t="s">
        <v>455</v>
      </c>
      <c r="O59" s="87"/>
    </row>
    <row r="60" customFormat="false" ht="15.75" hidden="false" customHeight="false" outlineLevel="0" collapsed="false">
      <c r="A60" s="88" t="n">
        <v>43445</v>
      </c>
      <c r="B60" s="87" t="s">
        <v>8013</v>
      </c>
      <c r="C60" s="87" t="s">
        <v>15</v>
      </c>
      <c r="D60" s="90" t="s">
        <v>16</v>
      </c>
      <c r="E60" s="87" t="s">
        <v>44</v>
      </c>
      <c r="F60" s="87" t="s">
        <v>8191</v>
      </c>
      <c r="G60" s="87" t="n">
        <f aca="false">+50765987189</f>
        <v>50765987189</v>
      </c>
      <c r="H60" s="87" t="s">
        <v>8192</v>
      </c>
      <c r="I60" s="87" t="s">
        <v>8044</v>
      </c>
      <c r="J60" s="87" t="s">
        <v>8193</v>
      </c>
      <c r="K60" s="87" t="s">
        <v>8194</v>
      </c>
      <c r="L60" s="87"/>
      <c r="M60" s="87" t="s">
        <v>5165</v>
      </c>
      <c r="N60" s="87" t="s">
        <v>2600</v>
      </c>
      <c r="O60" s="87"/>
    </row>
    <row r="61" customFormat="false" ht="15.75" hidden="false" customHeight="false" outlineLevel="0" collapsed="false">
      <c r="A61" s="91" t="n">
        <v>43445</v>
      </c>
      <c r="B61" s="92" t="s">
        <v>8142</v>
      </c>
      <c r="C61" s="92" t="s">
        <v>15</v>
      </c>
      <c r="D61" s="92" t="s">
        <v>8005</v>
      </c>
      <c r="E61" s="92" t="s">
        <v>44</v>
      </c>
      <c r="F61" s="92" t="s">
        <v>8195</v>
      </c>
      <c r="G61" s="92" t="n">
        <f aca="false">+51966662757</f>
        <v>51966662757</v>
      </c>
      <c r="H61" s="92" t="s">
        <v>8196</v>
      </c>
      <c r="I61" s="92" t="s">
        <v>7986</v>
      </c>
      <c r="J61" s="92" t="s">
        <v>8008</v>
      </c>
      <c r="K61" s="87" t="s">
        <v>7983</v>
      </c>
      <c r="L61" s="87"/>
      <c r="M61" s="87" t="s">
        <v>7983</v>
      </c>
      <c r="N61" s="87" t="s">
        <v>58</v>
      </c>
      <c r="O61" s="87"/>
    </row>
    <row r="62" customFormat="false" ht="15.75" hidden="false" customHeight="false" outlineLevel="0" collapsed="false">
      <c r="A62" s="91" t="n">
        <v>43445</v>
      </c>
      <c r="B62" s="92" t="s">
        <v>8052</v>
      </c>
      <c r="C62" s="92" t="s">
        <v>26</v>
      </c>
      <c r="D62" s="92" t="s">
        <v>8005</v>
      </c>
      <c r="E62" s="92" t="s">
        <v>44</v>
      </c>
      <c r="F62" s="92" t="s">
        <v>8197</v>
      </c>
      <c r="G62" s="92" t="n">
        <f aca="false">+56976799226</f>
        <v>56976799226</v>
      </c>
      <c r="H62" s="92" t="s">
        <v>8198</v>
      </c>
      <c r="I62" s="92" t="s">
        <v>7977</v>
      </c>
      <c r="J62" s="92" t="s">
        <v>7973</v>
      </c>
      <c r="K62" s="87" t="s">
        <v>7983</v>
      </c>
      <c r="L62" s="87"/>
      <c r="M62" s="87" t="s">
        <v>7983</v>
      </c>
      <c r="N62" s="87" t="s">
        <v>58</v>
      </c>
      <c r="O62" s="87"/>
    </row>
    <row r="63" customFormat="false" ht="15.75" hidden="false" customHeight="false" outlineLevel="0" collapsed="false">
      <c r="A63" s="91" t="n">
        <v>43445</v>
      </c>
      <c r="B63" s="92" t="s">
        <v>8004</v>
      </c>
      <c r="C63" s="92" t="s">
        <v>15</v>
      </c>
      <c r="D63" s="92" t="s">
        <v>8005</v>
      </c>
      <c r="E63" s="92" t="s">
        <v>44</v>
      </c>
      <c r="F63" s="92" t="s">
        <v>8199</v>
      </c>
      <c r="G63" s="92" t="n">
        <f aca="false">+51987931465</f>
        <v>51987931465</v>
      </c>
      <c r="H63" s="92" t="s">
        <v>8200</v>
      </c>
      <c r="I63" s="92" t="s">
        <v>7986</v>
      </c>
      <c r="J63" s="92" t="s">
        <v>8008</v>
      </c>
      <c r="K63" s="87" t="s">
        <v>8177</v>
      </c>
      <c r="L63" s="87"/>
      <c r="M63" s="87" t="s">
        <v>7983</v>
      </c>
      <c r="N63" s="87" t="s">
        <v>58</v>
      </c>
      <c r="O63" s="87"/>
    </row>
    <row r="64" customFormat="false" ht="15.75" hidden="false" customHeight="false" outlineLevel="0" collapsed="false">
      <c r="A64" s="91" t="n">
        <v>43445</v>
      </c>
      <c r="B64" s="92" t="s">
        <v>8009</v>
      </c>
      <c r="C64" s="92" t="s">
        <v>15</v>
      </c>
      <c r="D64" s="92" t="s">
        <v>8005</v>
      </c>
      <c r="E64" s="92" t="s">
        <v>44</v>
      </c>
      <c r="F64" s="92" t="s">
        <v>8201</v>
      </c>
      <c r="G64" s="92" t="n">
        <f aca="false">+51946130138</f>
        <v>51946130138</v>
      </c>
      <c r="H64" s="92" t="s">
        <v>8202</v>
      </c>
      <c r="I64" s="92" t="s">
        <v>7986</v>
      </c>
      <c r="J64" s="92" t="s">
        <v>8008</v>
      </c>
      <c r="K64" s="87" t="s">
        <v>7983</v>
      </c>
      <c r="L64" s="87"/>
      <c r="M64" s="87" t="s">
        <v>7983</v>
      </c>
      <c r="N64" s="87" t="s">
        <v>58</v>
      </c>
      <c r="O64" s="87"/>
    </row>
    <row r="65" customFormat="false" ht="15.75" hidden="false" customHeight="false" outlineLevel="0" collapsed="false">
      <c r="A65" s="88" t="n">
        <v>43445</v>
      </c>
      <c r="B65" s="87" t="s">
        <v>7959</v>
      </c>
      <c r="C65" s="87" t="s">
        <v>15</v>
      </c>
      <c r="D65" s="90" t="s">
        <v>16</v>
      </c>
      <c r="E65" s="87" t="s">
        <v>44</v>
      </c>
      <c r="F65" s="89" t="s">
        <v>8203</v>
      </c>
      <c r="G65" s="90" t="n">
        <v>51992090400</v>
      </c>
      <c r="H65" s="90" t="s">
        <v>8204</v>
      </c>
      <c r="I65" s="87" t="s">
        <v>7986</v>
      </c>
      <c r="J65" s="87" t="s">
        <v>8008</v>
      </c>
      <c r="K65" s="87" t="s">
        <v>8147</v>
      </c>
      <c r="L65" s="87"/>
      <c r="M65" s="87" t="s">
        <v>8205</v>
      </c>
      <c r="N65" s="87" t="s">
        <v>8110</v>
      </c>
      <c r="O65" s="87"/>
    </row>
    <row r="66" customFormat="false" ht="15.75" hidden="false" customHeight="false" outlineLevel="0" collapsed="false">
      <c r="A66" s="88" t="n">
        <v>43446</v>
      </c>
      <c r="B66" s="87" t="s">
        <v>7959</v>
      </c>
      <c r="C66" s="87" t="s">
        <v>15</v>
      </c>
      <c r="D66" s="90" t="s">
        <v>16</v>
      </c>
      <c r="E66" s="87" t="s">
        <v>44</v>
      </c>
      <c r="F66" s="87" t="s">
        <v>8206</v>
      </c>
      <c r="G66" s="87" t="n">
        <f aca="false">+59899389127</f>
        <v>59899389127</v>
      </c>
      <c r="H66" s="87" t="s">
        <v>8207</v>
      </c>
      <c r="I66" s="87" t="s">
        <v>8208</v>
      </c>
      <c r="J66" s="87" t="s">
        <v>8209</v>
      </c>
      <c r="K66" s="87" t="s">
        <v>8210</v>
      </c>
      <c r="L66" s="87"/>
      <c r="M66" s="87" t="s">
        <v>7983</v>
      </c>
      <c r="N66" s="87" t="s">
        <v>58</v>
      </c>
      <c r="O66" s="87"/>
    </row>
    <row r="67" customFormat="false" ht="15.75" hidden="false" customHeight="false" outlineLevel="0" collapsed="false">
      <c r="A67" s="87" t="n">
        <v>0</v>
      </c>
      <c r="B67" s="87" t="s">
        <v>7959</v>
      </c>
      <c r="C67" s="87" t="s">
        <v>15</v>
      </c>
      <c r="D67" s="90" t="s">
        <v>16</v>
      </c>
      <c r="E67" s="87" t="s">
        <v>44</v>
      </c>
      <c r="F67" s="87" t="s">
        <v>8211</v>
      </c>
      <c r="G67" s="87" t="n">
        <f aca="false">+51959110016</f>
        <v>51959110016</v>
      </c>
      <c r="H67" s="87" t="s">
        <v>8212</v>
      </c>
      <c r="I67" s="87" t="s">
        <v>8213</v>
      </c>
      <c r="J67" s="87" t="s">
        <v>8003</v>
      </c>
      <c r="K67" s="87" t="s">
        <v>133</v>
      </c>
      <c r="L67" s="87"/>
      <c r="M67" s="87" t="s">
        <v>7983</v>
      </c>
      <c r="N67" s="87" t="s">
        <v>58</v>
      </c>
      <c r="O67" s="87"/>
    </row>
    <row r="68" customFormat="false" ht="15.75" hidden="false" customHeight="false" outlineLevel="0" collapsed="false">
      <c r="A68" s="88" t="n">
        <v>43446</v>
      </c>
      <c r="B68" s="87" t="s">
        <v>7959</v>
      </c>
      <c r="C68" s="87" t="s">
        <v>15</v>
      </c>
      <c r="D68" s="90" t="s">
        <v>16</v>
      </c>
      <c r="E68" s="87" t="s">
        <v>44</v>
      </c>
      <c r="F68" s="87" t="s">
        <v>8214</v>
      </c>
      <c r="G68" s="87" t="n">
        <f aca="false">+573122432041</f>
        <v>573122432041</v>
      </c>
      <c r="H68" s="87" t="s">
        <v>8215</v>
      </c>
      <c r="I68" s="87" t="s">
        <v>8216</v>
      </c>
      <c r="J68" s="87" t="s">
        <v>8217</v>
      </c>
      <c r="K68" s="87" t="s">
        <v>8218</v>
      </c>
      <c r="L68" s="87"/>
      <c r="M68" s="87" t="s">
        <v>7983</v>
      </c>
      <c r="N68" s="87" t="s">
        <v>58</v>
      </c>
      <c r="O68" s="87"/>
    </row>
    <row r="69" customFormat="false" ht="15.75" hidden="false" customHeight="false" outlineLevel="0" collapsed="false">
      <c r="A69" s="88" t="n">
        <v>43446</v>
      </c>
      <c r="B69" s="87" t="s">
        <v>81</v>
      </c>
      <c r="C69" s="87" t="s">
        <v>15</v>
      </c>
      <c r="D69" s="87" t="s">
        <v>43</v>
      </c>
      <c r="E69" s="87" t="s">
        <v>44</v>
      </c>
      <c r="F69" s="87" t="s">
        <v>8219</v>
      </c>
      <c r="G69" s="87" t="n">
        <f aca="false">+59899147749</f>
        <v>59899147749</v>
      </c>
      <c r="H69" s="87" t="s">
        <v>8220</v>
      </c>
      <c r="I69" s="87" t="s">
        <v>8221</v>
      </c>
      <c r="J69" s="87" t="s">
        <v>8209</v>
      </c>
      <c r="K69" s="87" t="s">
        <v>8222</v>
      </c>
      <c r="L69" s="87"/>
      <c r="M69" s="87" t="s">
        <v>7983</v>
      </c>
      <c r="N69" s="87" t="s">
        <v>58</v>
      </c>
      <c r="O69" s="87"/>
    </row>
    <row r="70" customFormat="false" ht="15.75" hidden="false" customHeight="false" outlineLevel="0" collapsed="false">
      <c r="A70" s="88" t="n">
        <v>43446</v>
      </c>
      <c r="B70" s="87" t="s">
        <v>8013</v>
      </c>
      <c r="C70" s="87" t="s">
        <v>15</v>
      </c>
      <c r="D70" s="87" t="s">
        <v>43</v>
      </c>
      <c r="E70" s="87" t="s">
        <v>44</v>
      </c>
      <c r="F70" s="87" t="s">
        <v>8223</v>
      </c>
      <c r="G70" s="87" t="n">
        <f aca="false">+51950073588</f>
        <v>51950073588</v>
      </c>
      <c r="H70" s="87" t="s">
        <v>8224</v>
      </c>
      <c r="I70" s="87" t="s">
        <v>7977</v>
      </c>
      <c r="J70" s="87" t="s">
        <v>7973</v>
      </c>
      <c r="K70" s="87" t="s">
        <v>7983</v>
      </c>
      <c r="L70" s="87"/>
      <c r="M70" s="87" t="s">
        <v>8225</v>
      </c>
      <c r="N70" s="87" t="s">
        <v>455</v>
      </c>
      <c r="O70" s="87"/>
    </row>
    <row r="71" customFormat="false" ht="15.75" hidden="false" customHeight="false" outlineLevel="0" collapsed="false">
      <c r="A71" s="88" t="n">
        <v>43446</v>
      </c>
      <c r="B71" s="87" t="s">
        <v>81</v>
      </c>
      <c r="C71" s="87" t="s">
        <v>15</v>
      </c>
      <c r="D71" s="87" t="s">
        <v>43</v>
      </c>
      <c r="E71" s="87" t="s">
        <v>44</v>
      </c>
      <c r="F71" s="87" t="s">
        <v>8226</v>
      </c>
      <c r="G71" s="87" t="n">
        <f aca="false">+56988648364</f>
        <v>56988648364</v>
      </c>
      <c r="H71" s="87" t="s">
        <v>8227</v>
      </c>
      <c r="I71" s="87" t="s">
        <v>8228</v>
      </c>
      <c r="J71" s="87" t="s">
        <v>7973</v>
      </c>
      <c r="K71" s="87" t="s">
        <v>7963</v>
      </c>
      <c r="L71" s="87"/>
      <c r="M71" s="87" t="s">
        <v>3372</v>
      </c>
      <c r="N71" s="87" t="s">
        <v>58</v>
      </c>
      <c r="O71" s="87"/>
    </row>
    <row r="72" customFormat="false" ht="15.75" hidden="false" customHeight="false" outlineLevel="0" collapsed="false">
      <c r="A72" s="88" t="n">
        <v>43446</v>
      </c>
      <c r="B72" s="87" t="s">
        <v>8041</v>
      </c>
      <c r="C72" s="87" t="s">
        <v>15</v>
      </c>
      <c r="D72" s="87" t="s">
        <v>43</v>
      </c>
      <c r="E72" s="87" t="s">
        <v>44</v>
      </c>
      <c r="F72" s="87" t="s">
        <v>8229</v>
      </c>
      <c r="G72" s="87" t="n">
        <f aca="false">+595984880596</f>
        <v>595984880596</v>
      </c>
      <c r="H72" s="87" t="s">
        <v>8230</v>
      </c>
      <c r="I72" s="87" t="s">
        <v>8171</v>
      </c>
      <c r="J72" s="87" t="s">
        <v>7968</v>
      </c>
      <c r="K72" s="87" t="s">
        <v>7983</v>
      </c>
      <c r="L72" s="87"/>
      <c r="M72" s="87" t="s">
        <v>3372</v>
      </c>
      <c r="N72" s="87" t="s">
        <v>58</v>
      </c>
      <c r="O72" s="87"/>
    </row>
    <row r="73" customFormat="false" ht="15.75" hidden="false" customHeight="false" outlineLevel="0" collapsed="false">
      <c r="A73" s="91" t="n">
        <v>43446</v>
      </c>
      <c r="B73" s="92" t="s">
        <v>8142</v>
      </c>
      <c r="C73" s="92" t="s">
        <v>15</v>
      </c>
      <c r="D73" s="92" t="s">
        <v>8005</v>
      </c>
      <c r="E73" s="92" t="s">
        <v>44</v>
      </c>
      <c r="F73" s="92" t="s">
        <v>8231</v>
      </c>
      <c r="G73" s="92" t="n">
        <f aca="false">+56999098430</f>
        <v>56999098430</v>
      </c>
      <c r="H73" s="92" t="s">
        <v>8232</v>
      </c>
      <c r="I73" s="92" t="s">
        <v>8233</v>
      </c>
      <c r="J73" s="92" t="s">
        <v>7973</v>
      </c>
      <c r="K73" s="87" t="s">
        <v>8194</v>
      </c>
      <c r="L73" s="87"/>
      <c r="M73" s="87" t="s">
        <v>8234</v>
      </c>
      <c r="N73" s="87" t="s">
        <v>2600</v>
      </c>
      <c r="O73" s="87"/>
    </row>
    <row r="74" customFormat="false" ht="15.75" hidden="false" customHeight="false" outlineLevel="0" collapsed="false">
      <c r="A74" s="91" t="n">
        <v>43446</v>
      </c>
      <c r="B74" s="92" t="s">
        <v>8052</v>
      </c>
      <c r="C74" s="92" t="s">
        <v>15</v>
      </c>
      <c r="D74" s="92" t="s">
        <v>8005</v>
      </c>
      <c r="E74" s="92" t="s">
        <v>44</v>
      </c>
      <c r="F74" s="92" t="s">
        <v>8235</v>
      </c>
      <c r="G74" s="92" t="n">
        <f aca="false">+51958579545</f>
        <v>51958579545</v>
      </c>
      <c r="H74" s="92" t="s">
        <v>8236</v>
      </c>
      <c r="I74" s="92" t="s">
        <v>8237</v>
      </c>
      <c r="J74" s="92" t="s">
        <v>8008</v>
      </c>
      <c r="K74" s="87" t="s">
        <v>7983</v>
      </c>
      <c r="L74" s="87"/>
      <c r="M74" s="87" t="s">
        <v>7983</v>
      </c>
      <c r="N74" s="87" t="s">
        <v>21</v>
      </c>
      <c r="O74" s="87"/>
    </row>
    <row r="75" customFormat="false" ht="15.75" hidden="false" customHeight="false" outlineLevel="0" collapsed="false">
      <c r="A75" s="91" t="n">
        <v>43446</v>
      </c>
      <c r="B75" s="92" t="s">
        <v>8004</v>
      </c>
      <c r="C75" s="92" t="s">
        <v>15</v>
      </c>
      <c r="D75" s="92" t="s">
        <v>8005</v>
      </c>
      <c r="E75" s="92" t="s">
        <v>44</v>
      </c>
      <c r="F75" s="92" t="s">
        <v>8238</v>
      </c>
      <c r="G75" s="92" t="n">
        <f aca="false">+56977286308</f>
        <v>56977286308</v>
      </c>
      <c r="H75" s="92" t="s">
        <v>8239</v>
      </c>
      <c r="I75" s="92" t="s">
        <v>7977</v>
      </c>
      <c r="J75" s="92" t="s">
        <v>7973</v>
      </c>
      <c r="K75" s="87" t="s">
        <v>8194</v>
      </c>
      <c r="L75" s="87"/>
      <c r="M75" s="87" t="s">
        <v>8240</v>
      </c>
      <c r="N75" s="87" t="s">
        <v>455</v>
      </c>
      <c r="O75" s="87"/>
    </row>
    <row r="76" customFormat="false" ht="15.75" hidden="false" customHeight="false" outlineLevel="0" collapsed="false">
      <c r="A76" s="91" t="n">
        <v>43446</v>
      </c>
      <c r="B76" s="92" t="s">
        <v>8004</v>
      </c>
      <c r="C76" s="92" t="s">
        <v>15</v>
      </c>
      <c r="D76" s="92" t="s">
        <v>8005</v>
      </c>
      <c r="E76" s="92" t="s">
        <v>44</v>
      </c>
      <c r="F76" s="92" t="s">
        <v>8241</v>
      </c>
      <c r="G76" s="92" t="n">
        <f aca="false">+51962228413</f>
        <v>51962228413</v>
      </c>
      <c r="H76" s="92" t="s">
        <v>8242</v>
      </c>
      <c r="I76" s="92" t="s">
        <v>8243</v>
      </c>
      <c r="J76" s="92" t="s">
        <v>8008</v>
      </c>
      <c r="K76" s="87" t="s">
        <v>133</v>
      </c>
      <c r="L76" s="87"/>
      <c r="M76" s="87" t="s">
        <v>7983</v>
      </c>
      <c r="N76" s="87" t="s">
        <v>21</v>
      </c>
      <c r="O76" s="87"/>
    </row>
    <row r="77" customFormat="false" ht="15.75" hidden="false" customHeight="false" outlineLevel="0" collapsed="false">
      <c r="A77" s="91" t="n">
        <v>43446</v>
      </c>
      <c r="B77" s="92" t="s">
        <v>8004</v>
      </c>
      <c r="C77" s="92" t="s">
        <v>26</v>
      </c>
      <c r="D77" s="92" t="s">
        <v>8005</v>
      </c>
      <c r="E77" s="92" t="s">
        <v>44</v>
      </c>
      <c r="F77" s="92" t="s">
        <v>8244</v>
      </c>
      <c r="G77" s="92" t="n">
        <f aca="false">+573014800816</f>
        <v>573014800816</v>
      </c>
      <c r="H77" s="92" t="s">
        <v>8245</v>
      </c>
      <c r="I77" s="92" t="s">
        <v>8016</v>
      </c>
      <c r="J77" s="92" t="s">
        <v>8017</v>
      </c>
      <c r="K77" s="87" t="s">
        <v>7377</v>
      </c>
      <c r="L77" s="87"/>
      <c r="M77" s="87" t="s">
        <v>7963</v>
      </c>
      <c r="N77" s="87" t="s">
        <v>8246</v>
      </c>
      <c r="O77" s="87"/>
    </row>
    <row r="78" customFormat="false" ht="15.75" hidden="false" customHeight="false" outlineLevel="0" collapsed="false">
      <c r="A78" s="91" t="n">
        <v>43446</v>
      </c>
      <c r="B78" s="92" t="s">
        <v>8004</v>
      </c>
      <c r="C78" s="92" t="s">
        <v>15</v>
      </c>
      <c r="D78" s="92" t="s">
        <v>8005</v>
      </c>
      <c r="E78" s="92" t="s">
        <v>44</v>
      </c>
      <c r="F78" s="92" t="s">
        <v>8247</v>
      </c>
      <c r="G78" s="92" t="n">
        <f aca="false">+51955092329</f>
        <v>51955092329</v>
      </c>
      <c r="H78" s="92" t="s">
        <v>8248</v>
      </c>
      <c r="I78" s="92" t="s">
        <v>8249</v>
      </c>
      <c r="J78" s="92" t="s">
        <v>8008</v>
      </c>
      <c r="K78" s="87" t="s">
        <v>8250</v>
      </c>
      <c r="L78" s="87"/>
      <c r="M78" s="87" t="s">
        <v>8251</v>
      </c>
      <c r="N78" s="87" t="s">
        <v>455</v>
      </c>
      <c r="O78" s="87"/>
    </row>
    <row r="79" customFormat="false" ht="15.75" hidden="false" customHeight="false" outlineLevel="0" collapsed="false">
      <c r="A79" s="88" t="n">
        <v>43447</v>
      </c>
      <c r="B79" s="90" t="s">
        <v>8079</v>
      </c>
      <c r="C79" s="87" t="s">
        <v>15</v>
      </c>
      <c r="D79" s="87" t="s">
        <v>43</v>
      </c>
      <c r="E79" s="87" t="s">
        <v>44</v>
      </c>
      <c r="F79" s="87" t="s">
        <v>8252</v>
      </c>
      <c r="G79" s="87" t="n">
        <f aca="false">+5950975372328</f>
        <v>5950975372328</v>
      </c>
      <c r="H79" s="87" t="s">
        <v>8253</v>
      </c>
      <c r="I79" s="87" t="s">
        <v>8254</v>
      </c>
      <c r="J79" s="87" t="s">
        <v>7968</v>
      </c>
      <c r="K79" s="87" t="s">
        <v>8255</v>
      </c>
      <c r="L79" s="87" t="s">
        <v>7999</v>
      </c>
      <c r="M79" s="87" t="s">
        <v>7983</v>
      </c>
      <c r="N79" s="87" t="s">
        <v>21</v>
      </c>
      <c r="O79" s="87"/>
    </row>
    <row r="80" customFormat="false" ht="15.75" hidden="false" customHeight="false" outlineLevel="0" collapsed="false">
      <c r="A80" s="88" t="n">
        <v>43447</v>
      </c>
      <c r="B80" s="90" t="s">
        <v>8013</v>
      </c>
      <c r="C80" s="87" t="s">
        <v>15</v>
      </c>
      <c r="D80" s="87" t="s">
        <v>43</v>
      </c>
      <c r="E80" s="87" t="s">
        <v>44</v>
      </c>
      <c r="F80" s="87" t="s">
        <v>8256</v>
      </c>
      <c r="G80" s="87" t="n">
        <f aca="false">+51935971403</f>
        <v>51935971403</v>
      </c>
      <c r="H80" s="87" t="s">
        <v>8257</v>
      </c>
      <c r="I80" s="87" t="s">
        <v>8258</v>
      </c>
      <c r="J80" s="87" t="s">
        <v>8008</v>
      </c>
      <c r="K80" s="87" t="s">
        <v>7983</v>
      </c>
      <c r="L80" s="87"/>
      <c r="M80" s="87" t="s">
        <v>8259</v>
      </c>
      <c r="N80" s="87" t="s">
        <v>21</v>
      </c>
      <c r="O80" s="87"/>
    </row>
    <row r="81" customFormat="false" ht="15.75" hidden="false" customHeight="false" outlineLevel="0" collapsed="false">
      <c r="A81" s="88" t="n">
        <v>43447</v>
      </c>
      <c r="B81" s="90" t="s">
        <v>8013</v>
      </c>
      <c r="C81" s="87" t="s">
        <v>15</v>
      </c>
      <c r="D81" s="87" t="s">
        <v>43</v>
      </c>
      <c r="E81" s="87" t="s">
        <v>44</v>
      </c>
      <c r="F81" s="87" t="s">
        <v>8260</v>
      </c>
      <c r="G81" s="87" t="n">
        <f aca="false">+51969660383</f>
        <v>51969660383</v>
      </c>
      <c r="H81" s="87" t="s">
        <v>8261</v>
      </c>
      <c r="I81" s="87" t="s">
        <v>7986</v>
      </c>
      <c r="J81" s="87" t="s">
        <v>8008</v>
      </c>
      <c r="K81" s="87" t="s">
        <v>8262</v>
      </c>
      <c r="L81" s="87"/>
      <c r="M81" s="87"/>
      <c r="N81" s="87"/>
      <c r="O81" s="87"/>
    </row>
    <row r="82" customFormat="false" ht="15.75" hidden="false" customHeight="false" outlineLevel="0" collapsed="false">
      <c r="A82" s="88" t="n">
        <v>43447</v>
      </c>
      <c r="B82" s="90" t="s">
        <v>8173</v>
      </c>
      <c r="C82" s="87" t="s">
        <v>15</v>
      </c>
      <c r="D82" s="87" t="s">
        <v>43</v>
      </c>
      <c r="E82" s="87" t="s">
        <v>44</v>
      </c>
      <c r="F82" s="87" t="s">
        <v>8263</v>
      </c>
      <c r="G82" s="87" t="n">
        <f aca="false">+573213447848</f>
        <v>573213447848</v>
      </c>
      <c r="H82" s="87" t="s">
        <v>8264</v>
      </c>
      <c r="I82" s="87" t="s">
        <v>8265</v>
      </c>
      <c r="J82" s="87" t="s">
        <v>8085</v>
      </c>
      <c r="K82" s="87" t="s">
        <v>8255</v>
      </c>
      <c r="L82" s="87" t="s">
        <v>7999</v>
      </c>
      <c r="M82" s="87" t="s">
        <v>8266</v>
      </c>
      <c r="N82" s="87" t="s">
        <v>21</v>
      </c>
      <c r="O82" s="87"/>
    </row>
    <row r="83" customFormat="false" ht="15.75" hidden="false" customHeight="false" outlineLevel="0" collapsed="false">
      <c r="A83" s="88" t="n">
        <v>43447</v>
      </c>
      <c r="B83" s="90" t="s">
        <v>8013</v>
      </c>
      <c r="C83" s="87" t="s">
        <v>15</v>
      </c>
      <c r="D83" s="87" t="s">
        <v>43</v>
      </c>
      <c r="E83" s="87" t="s">
        <v>44</v>
      </c>
      <c r="F83" s="87" t="s">
        <v>8267</v>
      </c>
      <c r="G83" s="87" t="n">
        <f aca="false">+56983162592</f>
        <v>56983162592</v>
      </c>
      <c r="H83" s="87" t="s">
        <v>8268</v>
      </c>
      <c r="I83" s="87" t="s">
        <v>8269</v>
      </c>
      <c r="J83" s="87" t="s">
        <v>7973</v>
      </c>
      <c r="K83" s="87" t="s">
        <v>7983</v>
      </c>
      <c r="L83" s="87"/>
      <c r="M83" s="87" t="s">
        <v>7983</v>
      </c>
      <c r="N83" s="87" t="s">
        <v>21</v>
      </c>
      <c r="O83" s="87"/>
    </row>
    <row r="84" customFormat="false" ht="15.75" hidden="false" customHeight="false" outlineLevel="0" collapsed="false">
      <c r="A84" s="88" t="n">
        <v>43447</v>
      </c>
      <c r="B84" s="90" t="s">
        <v>8079</v>
      </c>
      <c r="C84" s="87" t="s">
        <v>15</v>
      </c>
      <c r="D84" s="87" t="s">
        <v>43</v>
      </c>
      <c r="E84" s="87" t="s">
        <v>44</v>
      </c>
      <c r="F84" s="87" t="s">
        <v>8270</v>
      </c>
      <c r="G84" s="87" t="n">
        <f aca="false">+584266838440</f>
        <v>584266838440</v>
      </c>
      <c r="H84" s="87" t="s">
        <v>8271</v>
      </c>
      <c r="I84" s="87" t="s">
        <v>7986</v>
      </c>
      <c r="J84" s="87" t="s">
        <v>8008</v>
      </c>
      <c r="K84" s="87" t="s">
        <v>7983</v>
      </c>
      <c r="L84" s="87"/>
      <c r="M84" s="87" t="s">
        <v>7983</v>
      </c>
      <c r="N84" s="87" t="s">
        <v>21</v>
      </c>
      <c r="O84" s="87"/>
    </row>
    <row r="85" customFormat="false" ht="15.75" hidden="false" customHeight="false" outlineLevel="0" collapsed="false">
      <c r="A85" s="88" t="n">
        <v>43447</v>
      </c>
      <c r="B85" s="90" t="s">
        <v>8013</v>
      </c>
      <c r="C85" s="87" t="s">
        <v>15</v>
      </c>
      <c r="D85" s="87" t="s">
        <v>43</v>
      </c>
      <c r="E85" s="87" t="s">
        <v>44</v>
      </c>
      <c r="F85" s="87" t="s">
        <v>8272</v>
      </c>
      <c r="G85" s="87" t="n">
        <f aca="false">+595972259523</f>
        <v>595972259523</v>
      </c>
      <c r="H85" s="87" t="s">
        <v>8273</v>
      </c>
      <c r="I85" s="87" t="s">
        <v>8274</v>
      </c>
      <c r="J85" s="87" t="s">
        <v>7968</v>
      </c>
      <c r="K85" s="87" t="s">
        <v>7983</v>
      </c>
      <c r="L85" s="87"/>
      <c r="M85" s="87" t="s">
        <v>4121</v>
      </c>
      <c r="N85" s="87" t="s">
        <v>8275</v>
      </c>
      <c r="O85" s="87"/>
    </row>
    <row r="86" customFormat="false" ht="15.75" hidden="false" customHeight="false" outlineLevel="0" collapsed="false">
      <c r="A86" s="88" t="n">
        <v>43447</v>
      </c>
      <c r="B86" s="90" t="s">
        <v>8013</v>
      </c>
      <c r="C86" s="87" t="s">
        <v>15</v>
      </c>
      <c r="D86" s="87" t="s">
        <v>43</v>
      </c>
      <c r="E86" s="87" t="s">
        <v>44</v>
      </c>
      <c r="F86" s="87" t="s">
        <v>8276</v>
      </c>
      <c r="G86" s="87" t="n">
        <f aca="false">+573005901022</f>
        <v>573005901022</v>
      </c>
      <c r="H86" s="87" t="s">
        <v>8277</v>
      </c>
      <c r="I86" s="87" t="s">
        <v>8016</v>
      </c>
      <c r="J86" s="87" t="s">
        <v>8102</v>
      </c>
      <c r="K86" s="87" t="s">
        <v>8278</v>
      </c>
      <c r="L86" s="87"/>
      <c r="M86" s="87" t="s">
        <v>8279</v>
      </c>
      <c r="N86" s="87" t="s">
        <v>8280</v>
      </c>
      <c r="O86" s="87"/>
    </row>
    <row r="87" customFormat="false" ht="15.75" hidden="false" customHeight="false" outlineLevel="0" collapsed="false">
      <c r="A87" s="88" t="n">
        <v>43447</v>
      </c>
      <c r="B87" s="90" t="s">
        <v>8013</v>
      </c>
      <c r="C87" s="87" t="s">
        <v>15</v>
      </c>
      <c r="D87" s="87" t="s">
        <v>43</v>
      </c>
      <c r="E87" s="87" t="s">
        <v>44</v>
      </c>
      <c r="F87" s="87" t="s">
        <v>8281</v>
      </c>
      <c r="G87" s="87" t="n">
        <f aca="false">+573167593377</f>
        <v>573167593377</v>
      </c>
      <c r="H87" s="87" t="s">
        <v>8282</v>
      </c>
      <c r="I87" s="87" t="s">
        <v>8016</v>
      </c>
      <c r="J87" s="87" t="s">
        <v>8102</v>
      </c>
      <c r="K87" s="87" t="s">
        <v>3685</v>
      </c>
      <c r="L87" s="87"/>
      <c r="M87" s="87" t="s">
        <v>8283</v>
      </c>
      <c r="N87" s="87" t="s">
        <v>8284</v>
      </c>
      <c r="O87" s="87"/>
    </row>
    <row r="88" customFormat="false" ht="15.75" hidden="false" customHeight="false" outlineLevel="0" collapsed="false">
      <c r="A88" s="88" t="n">
        <v>43447</v>
      </c>
      <c r="B88" s="90" t="s">
        <v>8013</v>
      </c>
      <c r="C88" s="87" t="s">
        <v>15</v>
      </c>
      <c r="D88" s="87" t="s">
        <v>43</v>
      </c>
      <c r="E88" s="87" t="s">
        <v>44</v>
      </c>
      <c r="F88" s="87" t="s">
        <v>8285</v>
      </c>
      <c r="G88" s="87" t="n">
        <f aca="false">+5403794661331</f>
        <v>5403794661331</v>
      </c>
      <c r="H88" s="87" t="s">
        <v>8286</v>
      </c>
      <c r="I88" s="87" t="s">
        <v>8287</v>
      </c>
      <c r="J88" s="87" t="s">
        <v>8288</v>
      </c>
      <c r="K88" s="87" t="s">
        <v>8289</v>
      </c>
      <c r="L88" s="87"/>
      <c r="M88" s="87" t="s">
        <v>7983</v>
      </c>
      <c r="N88" s="87" t="s">
        <v>21</v>
      </c>
      <c r="O88" s="87"/>
    </row>
    <row r="89" customFormat="false" ht="15.75" hidden="false" customHeight="false" outlineLevel="0" collapsed="false">
      <c r="A89" s="91" t="n">
        <v>43447</v>
      </c>
      <c r="B89" s="93" t="s">
        <v>8290</v>
      </c>
      <c r="C89" s="92" t="s">
        <v>15</v>
      </c>
      <c r="D89" s="93" t="s">
        <v>8291</v>
      </c>
      <c r="E89" s="92" t="s">
        <v>44</v>
      </c>
      <c r="F89" s="92" t="s">
        <v>8292</v>
      </c>
      <c r="G89" s="92" t="n">
        <f aca="false">+51990218161</f>
        <v>51990218161</v>
      </c>
      <c r="H89" s="92" t="s">
        <v>8293</v>
      </c>
      <c r="I89" s="92" t="s">
        <v>7986</v>
      </c>
      <c r="J89" s="92" t="s">
        <v>8008</v>
      </c>
      <c r="K89" s="87" t="s">
        <v>8294</v>
      </c>
      <c r="L89" s="87"/>
      <c r="M89" s="87" t="s">
        <v>31</v>
      </c>
      <c r="N89" s="87" t="s">
        <v>455</v>
      </c>
      <c r="O89" s="87"/>
    </row>
    <row r="90" customFormat="false" ht="15.75" hidden="false" customHeight="false" outlineLevel="0" collapsed="false">
      <c r="A90" s="88" t="n">
        <v>43448</v>
      </c>
      <c r="B90" s="90" t="s">
        <v>8295</v>
      </c>
      <c r="C90" s="87" t="s">
        <v>15</v>
      </c>
      <c r="D90" s="90" t="s">
        <v>8291</v>
      </c>
      <c r="E90" s="87" t="s">
        <v>44</v>
      </c>
      <c r="F90" s="87" t="s">
        <v>8296</v>
      </c>
      <c r="G90" s="87" t="n">
        <f aca="false">+573102869393</f>
        <v>573102869393</v>
      </c>
      <c r="H90" s="87" t="s">
        <v>8297</v>
      </c>
      <c r="I90" s="87" t="s">
        <v>8016</v>
      </c>
      <c r="J90" s="87" t="s">
        <v>8085</v>
      </c>
      <c r="K90" s="87" t="s">
        <v>8298</v>
      </c>
      <c r="L90" s="87"/>
      <c r="M90" s="87" t="s">
        <v>1166</v>
      </c>
      <c r="N90" s="87" t="s">
        <v>1766</v>
      </c>
      <c r="O90" s="87" t="s">
        <v>21</v>
      </c>
    </row>
    <row r="91" customFormat="false" ht="15.75" hidden="false" customHeight="false" outlineLevel="0" collapsed="false">
      <c r="A91" s="88" t="n">
        <v>43448</v>
      </c>
      <c r="B91" s="90" t="s">
        <v>8295</v>
      </c>
      <c r="C91" s="87" t="s">
        <v>15</v>
      </c>
      <c r="D91" s="90" t="s">
        <v>8291</v>
      </c>
      <c r="E91" s="87" t="s">
        <v>44</v>
      </c>
      <c r="F91" s="87" t="s">
        <v>8299</v>
      </c>
      <c r="G91" s="87" t="n">
        <f aca="false">+51983460982</f>
        <v>51983460982</v>
      </c>
      <c r="H91" s="87" t="s">
        <v>8300</v>
      </c>
      <c r="I91" s="87" t="s">
        <v>7986</v>
      </c>
      <c r="J91" s="87" t="s">
        <v>8008</v>
      </c>
      <c r="K91" s="87" t="s">
        <v>8301</v>
      </c>
      <c r="L91" s="87"/>
      <c r="M91" s="87" t="s">
        <v>5165</v>
      </c>
      <c r="N91" s="87" t="s">
        <v>21</v>
      </c>
      <c r="O91" s="87"/>
    </row>
    <row r="92" customFormat="false" ht="15.75" hidden="false" customHeight="false" outlineLevel="0" collapsed="false">
      <c r="A92" s="88" t="n">
        <v>43451</v>
      </c>
      <c r="B92" s="90" t="s">
        <v>8302</v>
      </c>
      <c r="C92" s="87" t="s">
        <v>26</v>
      </c>
      <c r="D92" s="90" t="s">
        <v>8291</v>
      </c>
      <c r="E92" s="87" t="s">
        <v>44</v>
      </c>
      <c r="F92" s="87" t="s">
        <v>8303</v>
      </c>
      <c r="G92" s="87" t="n">
        <f aca="false">+56956676229</f>
        <v>56956676229</v>
      </c>
      <c r="H92" s="87" t="s">
        <v>8304</v>
      </c>
      <c r="I92" s="87" t="s">
        <v>7977</v>
      </c>
      <c r="J92" s="87" t="s">
        <v>8305</v>
      </c>
      <c r="K92" s="87" t="s">
        <v>58</v>
      </c>
      <c r="L92" s="87"/>
      <c r="M92" s="87" t="s">
        <v>58</v>
      </c>
      <c r="N92" s="87" t="s">
        <v>21</v>
      </c>
      <c r="O92" s="87"/>
    </row>
    <row r="93" customFormat="false" ht="15.75" hidden="false" customHeight="false" outlineLevel="0" collapsed="false">
      <c r="A93" s="88" t="n">
        <v>43451</v>
      </c>
      <c r="B93" s="90" t="s">
        <v>8302</v>
      </c>
      <c r="C93" s="87" t="s">
        <v>15</v>
      </c>
      <c r="D93" s="90" t="s">
        <v>8291</v>
      </c>
      <c r="E93" s="87" t="s">
        <v>44</v>
      </c>
      <c r="F93" s="87" t="s">
        <v>8306</v>
      </c>
      <c r="G93" s="87" t="n">
        <f aca="false">+573166538178</f>
        <v>573166538178</v>
      </c>
      <c r="H93" s="87" t="s">
        <v>8307</v>
      </c>
      <c r="I93" s="87" t="s">
        <v>8016</v>
      </c>
      <c r="J93" s="87" t="s">
        <v>8085</v>
      </c>
      <c r="K93" s="87" t="s">
        <v>170</v>
      </c>
      <c r="L93" s="87"/>
      <c r="M93" s="87" t="s">
        <v>21</v>
      </c>
      <c r="N93" s="87" t="s">
        <v>58</v>
      </c>
      <c r="O93" s="87"/>
    </row>
    <row r="94" customFormat="false" ht="15.75" hidden="false" customHeight="false" outlineLevel="0" collapsed="false">
      <c r="A94" s="88" t="n">
        <v>43451</v>
      </c>
      <c r="B94" s="90" t="s">
        <v>8308</v>
      </c>
      <c r="C94" s="87" t="s">
        <v>15</v>
      </c>
      <c r="D94" s="90" t="s">
        <v>8291</v>
      </c>
      <c r="E94" s="87" t="s">
        <v>44</v>
      </c>
      <c r="F94" s="87" t="s">
        <v>8309</v>
      </c>
      <c r="G94" s="87" t="n">
        <f aca="false">+51958900803</f>
        <v>51958900803</v>
      </c>
      <c r="H94" s="87" t="s">
        <v>8310</v>
      </c>
      <c r="I94" s="87" t="s">
        <v>7986</v>
      </c>
      <c r="J94" s="87" t="s">
        <v>8008</v>
      </c>
      <c r="K94" s="87" t="s">
        <v>21</v>
      </c>
      <c r="L94" s="87"/>
      <c r="M94" s="87" t="s">
        <v>58</v>
      </c>
      <c r="N94" s="87" t="s">
        <v>21</v>
      </c>
      <c r="O94" s="87"/>
    </row>
    <row r="95" customFormat="false" ht="15.75" hidden="false" customHeight="false" outlineLevel="0" collapsed="false">
      <c r="A95" s="88" t="n">
        <v>43451</v>
      </c>
      <c r="B95" s="90" t="s">
        <v>8308</v>
      </c>
      <c r="C95" s="87" t="s">
        <v>15</v>
      </c>
      <c r="D95" s="90" t="s">
        <v>8291</v>
      </c>
      <c r="E95" s="87" t="s">
        <v>44</v>
      </c>
      <c r="F95" s="87" t="s">
        <v>8311</v>
      </c>
      <c r="G95" s="87" t="n">
        <f aca="false">+50767223359</f>
        <v>50767223359</v>
      </c>
      <c r="H95" s="87" t="s">
        <v>8312</v>
      </c>
      <c r="I95" s="87" t="s">
        <v>8313</v>
      </c>
      <c r="J95" s="87" t="s">
        <v>8314</v>
      </c>
      <c r="K95" s="87" t="s">
        <v>8315</v>
      </c>
      <c r="L95" s="87"/>
      <c r="M95" s="87" t="s">
        <v>8316</v>
      </c>
      <c r="N95" s="87" t="s">
        <v>21</v>
      </c>
      <c r="O95" s="87" t="s">
        <v>21</v>
      </c>
    </row>
    <row r="96" customFormat="false" ht="15.75" hidden="false" customHeight="false" outlineLevel="0" collapsed="false">
      <c r="A96" s="88" t="n">
        <v>43451</v>
      </c>
      <c r="B96" s="90" t="s">
        <v>8308</v>
      </c>
      <c r="C96" s="87" t="s">
        <v>15</v>
      </c>
      <c r="D96" s="90" t="s">
        <v>8291</v>
      </c>
      <c r="E96" s="87" t="s">
        <v>44</v>
      </c>
      <c r="F96" s="87" t="s">
        <v>8317</v>
      </c>
      <c r="G96" s="87" t="n">
        <f aca="false">+50765733785</f>
        <v>50765733785</v>
      </c>
      <c r="H96" s="87" t="s">
        <v>8318</v>
      </c>
      <c r="I96" s="87" t="s">
        <v>8319</v>
      </c>
      <c r="J96" s="87" t="s">
        <v>8045</v>
      </c>
      <c r="K96" s="87" t="s">
        <v>8320</v>
      </c>
      <c r="L96" s="87"/>
      <c r="M96" s="87" t="s">
        <v>21</v>
      </c>
      <c r="N96" s="87" t="s">
        <v>58</v>
      </c>
      <c r="O96" s="87"/>
    </row>
    <row r="97" customFormat="false" ht="15.75" hidden="false" customHeight="false" outlineLevel="0" collapsed="false">
      <c r="A97" s="88" t="n">
        <v>43451</v>
      </c>
      <c r="B97" s="90" t="s">
        <v>8308</v>
      </c>
      <c r="C97" s="87" t="s">
        <v>15</v>
      </c>
      <c r="D97" s="90" t="s">
        <v>8291</v>
      </c>
      <c r="E97" s="87" t="s">
        <v>44</v>
      </c>
      <c r="F97" s="87" t="s">
        <v>8321</v>
      </c>
      <c r="G97" s="87" t="n">
        <f aca="false">+573005651654</f>
        <v>573005651654</v>
      </c>
      <c r="H97" s="87" t="s">
        <v>8322</v>
      </c>
      <c r="I97" s="87" t="s">
        <v>8016</v>
      </c>
      <c r="J97" s="87" t="s">
        <v>8085</v>
      </c>
      <c r="K97" s="87" t="s">
        <v>8323</v>
      </c>
      <c r="L97" s="87"/>
      <c r="M97" s="87" t="s">
        <v>435</v>
      </c>
      <c r="N97" s="87" t="s">
        <v>133</v>
      </c>
      <c r="O97" s="87"/>
    </row>
    <row r="98" customFormat="false" ht="15.75" hidden="false" customHeight="false" outlineLevel="0" collapsed="false">
      <c r="A98" s="88" t="n">
        <v>43451</v>
      </c>
      <c r="B98" s="90" t="s">
        <v>8308</v>
      </c>
      <c r="C98" s="87" t="s">
        <v>15</v>
      </c>
      <c r="D98" s="90" t="s">
        <v>8291</v>
      </c>
      <c r="E98" s="87" t="s">
        <v>44</v>
      </c>
      <c r="F98" s="87" t="s">
        <v>8324</v>
      </c>
      <c r="G98" s="87" t="n">
        <f aca="false">+51972720416</f>
        <v>51972720416</v>
      </c>
      <c r="H98" s="87" t="s">
        <v>8325</v>
      </c>
      <c r="I98" s="87" t="s">
        <v>8326</v>
      </c>
      <c r="J98" s="87" t="s">
        <v>8008</v>
      </c>
      <c r="K98" s="87" t="s">
        <v>21</v>
      </c>
      <c r="L98" s="87"/>
      <c r="M98" s="87" t="s">
        <v>8327</v>
      </c>
      <c r="N98" s="87" t="s">
        <v>8328</v>
      </c>
      <c r="O98" s="87"/>
    </row>
    <row r="99" customFormat="false" ht="15.75" hidden="false" customHeight="false" outlineLevel="0" collapsed="false">
      <c r="A99" s="88" t="n">
        <v>43451</v>
      </c>
      <c r="B99" s="90" t="s">
        <v>8308</v>
      </c>
      <c r="C99" s="87" t="s">
        <v>15</v>
      </c>
      <c r="D99" s="90" t="s">
        <v>8291</v>
      </c>
      <c r="E99" s="87" t="s">
        <v>44</v>
      </c>
      <c r="F99" s="87" t="s">
        <v>8329</v>
      </c>
      <c r="G99" s="87" t="n">
        <f aca="false">+51966010994</f>
        <v>51966010994</v>
      </c>
      <c r="H99" s="87" t="s">
        <v>8330</v>
      </c>
      <c r="I99" s="87" t="s">
        <v>7986</v>
      </c>
      <c r="J99" s="87" t="s">
        <v>8008</v>
      </c>
      <c r="K99" s="87" t="s">
        <v>8331</v>
      </c>
      <c r="L99" s="87"/>
      <c r="M99" s="87" t="s">
        <v>8332</v>
      </c>
      <c r="N99" s="87" t="s">
        <v>133</v>
      </c>
      <c r="O99" s="87"/>
    </row>
    <row r="100" customFormat="false" ht="15.75" hidden="false" customHeight="false" outlineLevel="0" collapsed="false">
      <c r="A100" s="88" t="n">
        <v>43452</v>
      </c>
      <c r="B100" s="90" t="s">
        <v>8308</v>
      </c>
      <c r="C100" s="87" t="s">
        <v>15</v>
      </c>
      <c r="D100" s="90" t="s">
        <v>8291</v>
      </c>
      <c r="E100" s="87" t="s">
        <v>44</v>
      </c>
      <c r="F100" s="87" t="s">
        <v>8333</v>
      </c>
      <c r="G100" s="87" t="n">
        <f aca="false">+51995083030</f>
        <v>51995083030</v>
      </c>
      <c r="H100" s="87" t="s">
        <v>8334</v>
      </c>
      <c r="I100" s="87" t="s">
        <v>8335</v>
      </c>
      <c r="J100" s="87" t="s">
        <v>8008</v>
      </c>
      <c r="K100" s="87" t="s">
        <v>541</v>
      </c>
      <c r="L100" s="87"/>
      <c r="M100" s="87" t="s">
        <v>21</v>
      </c>
      <c r="N100" s="87" t="s">
        <v>21</v>
      </c>
      <c r="O100" s="87"/>
    </row>
    <row r="101" customFormat="false" ht="15.75" hidden="false" customHeight="false" outlineLevel="0" collapsed="false">
      <c r="A101" s="88" t="n">
        <v>43452</v>
      </c>
      <c r="B101" s="90" t="s">
        <v>8308</v>
      </c>
      <c r="C101" s="87" t="s">
        <v>15</v>
      </c>
      <c r="D101" s="90" t="s">
        <v>8291</v>
      </c>
      <c r="E101" s="87" t="s">
        <v>44</v>
      </c>
      <c r="F101" s="87" t="s">
        <v>8336</v>
      </c>
      <c r="G101" s="87" t="n">
        <f aca="false">+51927072249</f>
        <v>51927072249</v>
      </c>
      <c r="H101" s="87" t="s">
        <v>8337</v>
      </c>
      <c r="I101" s="87" t="s">
        <v>7997</v>
      </c>
      <c r="J101" s="87" t="s">
        <v>8008</v>
      </c>
      <c r="K101" s="87" t="s">
        <v>8338</v>
      </c>
      <c r="L101" s="87"/>
      <c r="M101" s="87"/>
      <c r="N101" s="87" t="s">
        <v>455</v>
      </c>
      <c r="O101" s="87"/>
    </row>
    <row r="102" customFormat="false" ht="15.75" hidden="false" customHeight="false" outlineLevel="0" collapsed="false">
      <c r="A102" s="88" t="n">
        <v>43452</v>
      </c>
      <c r="B102" s="90" t="s">
        <v>8295</v>
      </c>
      <c r="C102" s="87" t="s">
        <v>15</v>
      </c>
      <c r="D102" s="90" t="s">
        <v>8291</v>
      </c>
      <c r="E102" s="87" t="s">
        <v>44</v>
      </c>
      <c r="F102" s="87" t="s">
        <v>8339</v>
      </c>
      <c r="G102" s="87" t="n">
        <f aca="false">+51968137815</f>
        <v>51968137815</v>
      </c>
      <c r="H102" s="87" t="s">
        <v>8340</v>
      </c>
      <c r="I102" s="87" t="s">
        <v>7986</v>
      </c>
      <c r="J102" s="87" t="s">
        <v>8008</v>
      </c>
      <c r="K102" s="87" t="s">
        <v>8341</v>
      </c>
      <c r="L102" s="87"/>
      <c r="M102" s="87"/>
      <c r="N102" s="87" t="s">
        <v>8328</v>
      </c>
      <c r="O102" s="87"/>
    </row>
    <row r="103" customFormat="false" ht="15.75" hidden="false" customHeight="false" outlineLevel="0" collapsed="false">
      <c r="A103" s="88" t="n">
        <v>43453</v>
      </c>
      <c r="B103" s="94" t="s">
        <v>8295</v>
      </c>
      <c r="C103" s="46" t="s">
        <v>15</v>
      </c>
      <c r="D103" s="94" t="s">
        <v>8291</v>
      </c>
      <c r="E103" s="11" t="s">
        <v>44</v>
      </c>
      <c r="F103" s="46" t="s">
        <v>8342</v>
      </c>
      <c r="G103" s="46" t="n">
        <f aca="false">+51971885423</f>
        <v>51971885423</v>
      </c>
      <c r="H103" s="46" t="s">
        <v>8343</v>
      </c>
      <c r="I103" s="46" t="s">
        <v>8243</v>
      </c>
      <c r="J103" s="46" t="s">
        <v>8008</v>
      </c>
      <c r="K103" s="46" t="s">
        <v>21</v>
      </c>
      <c r="L103" s="87"/>
      <c r="M103" s="87" t="s">
        <v>21</v>
      </c>
      <c r="N103" s="87" t="s">
        <v>21</v>
      </c>
      <c r="O103" s="87"/>
    </row>
    <row r="104" customFormat="false" ht="15.75" hidden="false" customHeight="false" outlineLevel="0" collapsed="false">
      <c r="A104" s="88" t="n">
        <v>43453</v>
      </c>
      <c r="B104" s="94" t="s">
        <v>8295</v>
      </c>
      <c r="C104" s="46" t="s">
        <v>15</v>
      </c>
      <c r="D104" s="94" t="s">
        <v>8291</v>
      </c>
      <c r="E104" s="11" t="s">
        <v>44</v>
      </c>
      <c r="F104" s="46" t="s">
        <v>8344</v>
      </c>
      <c r="G104" s="46" t="n">
        <f aca="false">+51927210098</f>
        <v>51927210098</v>
      </c>
      <c r="H104" s="46" t="s">
        <v>8345</v>
      </c>
      <c r="I104" s="46" t="s">
        <v>8346</v>
      </c>
      <c r="J104" s="46" t="s">
        <v>8008</v>
      </c>
      <c r="K104" s="46" t="s">
        <v>8338</v>
      </c>
      <c r="L104" s="87"/>
      <c r="M104" s="87"/>
      <c r="N104" s="87" t="s">
        <v>455</v>
      </c>
      <c r="O104" s="87"/>
    </row>
    <row r="105" customFormat="false" ht="15.75" hidden="false" customHeight="false" outlineLevel="0" collapsed="false">
      <c r="A105" s="88" t="n">
        <v>43453</v>
      </c>
      <c r="B105" s="94" t="s">
        <v>8302</v>
      </c>
      <c r="C105" s="46" t="s">
        <v>15</v>
      </c>
      <c r="D105" s="94" t="s">
        <v>8291</v>
      </c>
      <c r="E105" s="11" t="s">
        <v>44</v>
      </c>
      <c r="F105" s="46" t="s">
        <v>8347</v>
      </c>
      <c r="G105" s="46" t="n">
        <f aca="false">+573216532177</f>
        <v>573216532177</v>
      </c>
      <c r="H105" s="46" t="s">
        <v>8348</v>
      </c>
      <c r="I105" s="46" t="s">
        <v>8101</v>
      </c>
      <c r="J105" s="46" t="s">
        <v>8085</v>
      </c>
      <c r="K105" s="46" t="s">
        <v>21</v>
      </c>
      <c r="L105" s="87"/>
      <c r="M105" s="87"/>
      <c r="N105" s="87" t="s">
        <v>21</v>
      </c>
      <c r="O105" s="87"/>
    </row>
    <row r="106" customFormat="false" ht="15.75" hidden="false" customHeight="false" outlineLevel="0" collapsed="false">
      <c r="A106" s="88" t="n">
        <v>43453</v>
      </c>
      <c r="B106" s="94" t="s">
        <v>8302</v>
      </c>
      <c r="C106" s="46" t="s">
        <v>15</v>
      </c>
      <c r="D106" s="94" t="s">
        <v>8291</v>
      </c>
      <c r="E106" s="11" t="s">
        <v>44</v>
      </c>
      <c r="F106" s="46" t="s">
        <v>8349</v>
      </c>
      <c r="G106" s="46" t="n">
        <f aca="false">+51950954704</f>
        <v>51950954704</v>
      </c>
      <c r="H106" s="46" t="s">
        <v>8350</v>
      </c>
      <c r="I106" s="46" t="s">
        <v>7986</v>
      </c>
      <c r="J106" s="46" t="s">
        <v>8008</v>
      </c>
      <c r="K106" s="46" t="s">
        <v>21</v>
      </c>
      <c r="L106" s="87"/>
      <c r="M106" s="87"/>
      <c r="N106" s="87" t="s">
        <v>21</v>
      </c>
      <c r="O106" s="87"/>
    </row>
    <row r="107" customFormat="false" ht="15.75" hidden="false" customHeight="false" outlineLevel="0" collapsed="false">
      <c r="A107" s="88" t="n">
        <v>43453</v>
      </c>
      <c r="B107" s="94" t="s">
        <v>8302</v>
      </c>
      <c r="C107" s="46" t="s">
        <v>15</v>
      </c>
      <c r="D107" s="94" t="s">
        <v>8291</v>
      </c>
      <c r="E107" s="11" t="s">
        <v>44</v>
      </c>
      <c r="F107" s="46" t="s">
        <v>8351</v>
      </c>
      <c r="G107" s="46" t="n">
        <f aca="false">+51981164773</f>
        <v>51981164773</v>
      </c>
      <c r="H107" s="46" t="s">
        <v>8352</v>
      </c>
      <c r="I107" s="46" t="s">
        <v>7986</v>
      </c>
      <c r="J107" s="46" t="s">
        <v>8008</v>
      </c>
      <c r="K107" s="46" t="s">
        <v>21</v>
      </c>
      <c r="L107" s="87"/>
      <c r="M107" s="87"/>
      <c r="N107" s="87" t="s">
        <v>21</v>
      </c>
      <c r="O107" s="87"/>
    </row>
    <row r="108" customFormat="false" ht="15.75" hidden="false" customHeight="false" outlineLevel="0" collapsed="false">
      <c r="A108" s="88" t="n">
        <v>43453</v>
      </c>
      <c r="B108" s="94" t="s">
        <v>8302</v>
      </c>
      <c r="C108" s="46" t="s">
        <v>15</v>
      </c>
      <c r="D108" s="94" t="s">
        <v>8291</v>
      </c>
      <c r="E108" s="11" t="s">
        <v>44</v>
      </c>
      <c r="F108" s="46" t="s">
        <v>8353</v>
      </c>
      <c r="G108" s="46" t="n">
        <f aca="false">+56961204378</f>
        <v>56961204378</v>
      </c>
      <c r="H108" s="46" t="s">
        <v>8354</v>
      </c>
      <c r="I108" s="46" t="s">
        <v>8355</v>
      </c>
      <c r="J108" s="46" t="s">
        <v>7973</v>
      </c>
      <c r="K108" s="46" t="s">
        <v>541</v>
      </c>
      <c r="L108" s="87"/>
      <c r="M108" s="87"/>
      <c r="N108" s="87" t="s">
        <v>133</v>
      </c>
      <c r="O108" s="87"/>
    </row>
    <row r="109" customFormat="false" ht="15.75" hidden="false" customHeight="false" outlineLevel="0" collapsed="false">
      <c r="A109" s="88" t="n">
        <v>43453</v>
      </c>
      <c r="B109" s="94" t="s">
        <v>8302</v>
      </c>
      <c r="C109" s="46" t="s">
        <v>15</v>
      </c>
      <c r="D109" s="94" t="s">
        <v>8291</v>
      </c>
      <c r="E109" s="11" t="s">
        <v>44</v>
      </c>
      <c r="F109" s="46" t="s">
        <v>8356</v>
      </c>
      <c r="G109" s="46" t="n">
        <f aca="false">+56950242356</f>
        <v>56950242356</v>
      </c>
      <c r="H109" s="46" t="s">
        <v>8357</v>
      </c>
      <c r="I109" s="46" t="s">
        <v>7977</v>
      </c>
      <c r="J109" s="46" t="s">
        <v>8305</v>
      </c>
      <c r="K109" s="46" t="s">
        <v>21</v>
      </c>
      <c r="L109" s="87"/>
      <c r="M109" s="87"/>
      <c r="N109" s="87" t="s">
        <v>21</v>
      </c>
      <c r="O109" s="87"/>
    </row>
    <row r="110" customFormat="false" ht="15.75" hidden="false" customHeight="false" outlineLevel="0" collapsed="false">
      <c r="A110" s="88" t="n">
        <v>43455</v>
      </c>
      <c r="B110" s="94" t="s">
        <v>8308</v>
      </c>
      <c r="C110" s="46" t="s">
        <v>15</v>
      </c>
      <c r="D110" s="94" t="s">
        <v>8291</v>
      </c>
      <c r="E110" s="11" t="s">
        <v>44</v>
      </c>
      <c r="F110" s="46" t="s">
        <v>8358</v>
      </c>
      <c r="G110" s="46" t="n">
        <f aca="false">+51969712797</f>
        <v>51969712797</v>
      </c>
      <c r="H110" s="46" t="s">
        <v>8359</v>
      </c>
      <c r="I110" s="46" t="s">
        <v>7986</v>
      </c>
      <c r="J110" s="46" t="s">
        <v>8008</v>
      </c>
      <c r="K110" s="46" t="s">
        <v>21</v>
      </c>
      <c r="L110" s="87"/>
      <c r="M110" s="87"/>
      <c r="N110" s="87" t="s">
        <v>21</v>
      </c>
      <c r="O110" s="87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2019-02-13T16:21:49Z</dcterms:modified>
  <cp:revision>1</cp:revision>
  <dc:subject/>
  <dc:title/>
</cp:coreProperties>
</file>