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VIJAYANT MEHLA\Desktop\"/>
    </mc:Choice>
  </mc:AlternateContent>
  <xr:revisionPtr revIDLastSave="0" documentId="8_{A19B23B5-D060-49B8-8A05-7DE07247AFD6}" xr6:coauthVersionLast="44" xr6:coauthVersionMax="44" xr10:uidLastSave="{00000000-0000-0000-0000-000000000000}"/>
  <bookViews>
    <workbookView xWindow="-120" yWindow="-120" windowWidth="20730" windowHeight="11160" xr2:uid="{00000000-000D-0000-FFFF-FFFF00000000}"/>
  </bookViews>
  <sheets>
    <sheet name="INITIAL DATA" sheetId="14" r:id="rId1"/>
    <sheet name="VALUATION" sheetId="13" r:id="rId2"/>
  </sheets>
  <definedNames>
    <definedName name="IQ_ADDIN" hidden="1">"AUTO"</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"09/13/2017 07:10:48"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iterate="1" iterateDelta="9.9999999999994451E-4"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8" i="13" l="1"/>
  <c r="D33" i="13"/>
  <c r="D32" i="13"/>
  <c r="D20" i="13"/>
  <c r="B30" i="14"/>
  <c r="D22" i="13"/>
  <c r="C20" i="14"/>
  <c r="D27" i="13"/>
  <c r="F20" i="14"/>
  <c r="G18" i="14"/>
  <c r="C44" i="13"/>
  <c r="D44" i="13"/>
  <c r="B20" i="14"/>
  <c r="B19" i="14"/>
  <c r="C19" i="14"/>
  <c r="B18" i="14"/>
  <c r="C18" i="14"/>
  <c r="C17" i="14"/>
  <c r="D17" i="14"/>
  <c r="B16" i="14"/>
  <c r="C16" i="14"/>
  <c r="C19" i="13"/>
  <c r="C23" i="13"/>
  <c r="D19" i="14"/>
  <c r="D31" i="13"/>
  <c r="E31" i="13"/>
  <c r="D23" i="13"/>
  <c r="D24" i="13"/>
  <c r="E20" i="13"/>
  <c r="F31" i="13"/>
  <c r="G31" i="13"/>
  <c r="H31" i="13"/>
  <c r="I31" i="13"/>
  <c r="J31" i="13"/>
  <c r="K31" i="13"/>
  <c r="F20" i="13"/>
  <c r="E23" i="13"/>
  <c r="L31" i="13"/>
  <c r="G20" i="13"/>
  <c r="F23" i="13"/>
  <c r="E24" i="13"/>
  <c r="M31" i="13"/>
  <c r="G23" i="13"/>
  <c r="F24" i="13"/>
  <c r="H20" i="13"/>
  <c r="I20" i="13"/>
  <c r="J20" i="13"/>
  <c r="K20" i="13"/>
  <c r="L20" i="13"/>
  <c r="M20" i="13"/>
  <c r="H23" i="13"/>
  <c r="G24" i="13"/>
  <c r="H24" i="13"/>
  <c r="I23" i="13"/>
  <c r="D12" i="13"/>
  <c r="E12" i="13"/>
  <c r="F12" i="13"/>
  <c r="G12" i="13"/>
  <c r="H12" i="13"/>
  <c r="I12" i="13"/>
  <c r="J12" i="13"/>
  <c r="K12" i="13"/>
  <c r="L12" i="13"/>
  <c r="M12" i="13"/>
  <c r="E20" i="14"/>
  <c r="D20" i="14"/>
  <c r="E19" i="14"/>
  <c r="F19" i="14"/>
  <c r="E18" i="14"/>
  <c r="F18" i="14"/>
  <c r="D18" i="14"/>
  <c r="F17" i="14"/>
  <c r="E17" i="14"/>
  <c r="G12" i="14"/>
  <c r="C47" i="13"/>
  <c r="D47" i="13"/>
  <c r="B9" i="13"/>
  <c r="D9" i="13"/>
  <c r="D21" i="13"/>
  <c r="J23" i="13"/>
  <c r="I24" i="13"/>
  <c r="G19" i="14"/>
  <c r="B27" i="13"/>
  <c r="E27" i="13"/>
  <c r="F27" i="13"/>
  <c r="G27" i="13"/>
  <c r="H27" i="13"/>
  <c r="I27" i="13"/>
  <c r="J27" i="13"/>
  <c r="K27" i="13"/>
  <c r="L27" i="13"/>
  <c r="M27" i="13"/>
  <c r="E4" i="13"/>
  <c r="F4" i="13"/>
  <c r="G4" i="13"/>
  <c r="H4" i="13"/>
  <c r="I4" i="13"/>
  <c r="J4" i="13"/>
  <c r="K4" i="13"/>
  <c r="L4" i="13"/>
  <c r="M4" i="13"/>
  <c r="D16" i="14"/>
  <c r="E16" i="14"/>
  <c r="F16" i="14"/>
  <c r="K23" i="13"/>
  <c r="J24" i="13"/>
  <c r="E9" i="13"/>
  <c r="D29" i="13"/>
  <c r="L23" i="13"/>
  <c r="K24" i="13"/>
  <c r="F9" i="13"/>
  <c r="E21" i="13"/>
  <c r="E22" i="13"/>
  <c r="E29" i="13"/>
  <c r="E32" i="13"/>
  <c r="M23" i="13"/>
  <c r="M24" i="13"/>
  <c r="L24" i="13"/>
  <c r="G9" i="13"/>
  <c r="F21" i="13"/>
  <c r="F22" i="13"/>
  <c r="F29" i="13"/>
  <c r="F32" i="13"/>
  <c r="H9" i="13"/>
  <c r="G21" i="13"/>
  <c r="G22" i="13"/>
  <c r="G29" i="13"/>
  <c r="G32" i="13"/>
  <c r="H21" i="13"/>
  <c r="H22" i="13"/>
  <c r="H29" i="13"/>
  <c r="H32" i="13"/>
  <c r="I9" i="13"/>
  <c r="J9" i="13"/>
  <c r="I21" i="13"/>
  <c r="I22" i="13"/>
  <c r="I29" i="13"/>
  <c r="I32" i="13"/>
  <c r="K9" i="13"/>
  <c r="J21" i="13"/>
  <c r="J22" i="13"/>
  <c r="J29" i="13"/>
  <c r="J32" i="13"/>
  <c r="L9" i="13"/>
  <c r="K21" i="13"/>
  <c r="K22" i="13"/>
  <c r="K29" i="13"/>
  <c r="K32" i="13"/>
  <c r="M9" i="13"/>
  <c r="L21" i="13"/>
  <c r="L22" i="13"/>
  <c r="L29" i="13"/>
  <c r="L32" i="13"/>
  <c r="M21" i="13"/>
  <c r="M22" i="13"/>
  <c r="M29" i="13"/>
  <c r="H37" i="13"/>
  <c r="M32" i="13"/>
  <c r="D42" i="13"/>
  <c r="D39" i="13"/>
  <c r="D43" i="13"/>
  <c r="D45" i="13"/>
  <c r="D48" i="13"/>
  <c r="D5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Daniele Melotti</author>
  </authors>
  <commentList>
    <comment ref="F4" authorId="0" shapeId="0" xr:uid="{D1FDB065-B05B-4F13-BDC0-10A56857A0F3}">
      <text>
        <r>
          <rPr>
            <b/>
            <sz val="9"/>
            <color indexed="81"/>
            <rFont val="Tahoma"/>
            <family val="2"/>
          </rPr>
          <t>Vijayant Mehla:</t>
        </r>
        <r>
          <rPr>
            <sz val="9"/>
            <color indexed="81"/>
            <rFont val="Tahoma"/>
            <family val="2"/>
          </rPr>
          <t xml:space="preserve">
Sales from last year.</t>
        </r>
      </text>
    </comment>
    <comment ref="F11" authorId="0" shapeId="0" xr:uid="{66B10F3B-AE77-4BCA-BC75-61B80C45AFA6}">
      <text>
        <r>
          <rPr>
            <b/>
            <sz val="9"/>
            <color indexed="81"/>
            <rFont val="Tahoma"/>
            <family val="2"/>
          </rPr>
          <t>Vijayant Mehla:</t>
        </r>
        <r>
          <rPr>
            <sz val="9"/>
            <color indexed="81"/>
            <rFont val="Tahoma"/>
            <family val="2"/>
          </rPr>
          <t xml:space="preserve">
Fundamental data for the calculation of the company's total value.</t>
        </r>
      </text>
    </comment>
    <comment ref="G12" authorId="0" shapeId="0" xr:uid="{DE093676-E36A-4403-81D8-64E2F232368D}">
      <text>
        <r>
          <rPr>
            <b/>
            <sz val="9"/>
            <color indexed="81"/>
            <rFont val="Tahoma"/>
            <family val="2"/>
          </rPr>
          <t xml:space="preserve">Vijayant Mehla:
</t>
        </r>
        <r>
          <rPr>
            <sz val="9"/>
            <color indexed="81"/>
            <rFont val="Tahoma"/>
            <family val="2"/>
          </rPr>
          <t>The sum of short-term debt and long-term debt from 2018, which in the valuation of the firm represents the market value of debt.</t>
        </r>
      </text>
    </comment>
    <comment ref="G18" authorId="0" shapeId="0" xr:uid="{7E0FCCF0-BB7B-4712-92A2-D2B463BC623A}">
      <text>
        <r>
          <rPr>
            <b/>
            <sz val="9"/>
            <color indexed="81"/>
            <rFont val="Tahoma"/>
            <family val="2"/>
          </rPr>
          <t>Vijayant Mehla:</t>
        </r>
        <r>
          <rPr>
            <sz val="9"/>
            <color indexed="81"/>
            <rFont val="Tahoma"/>
            <family val="2"/>
          </rPr>
          <t xml:space="preserve">
Historical operating profit margin, obtained by taking the average of the values of margin from the last 5 years.</t>
        </r>
      </text>
    </comment>
    <comment ref="G19" authorId="0" shapeId="0" xr:uid="{C7F3975D-9252-4EF7-A12F-9FA245A1B4A9}">
      <text>
        <r>
          <rPr>
            <b/>
            <sz val="9"/>
            <color indexed="81"/>
            <rFont val="Tahoma"/>
            <family val="2"/>
          </rPr>
          <t>Vijayant Mehla:</t>
        </r>
        <r>
          <rPr>
            <sz val="9"/>
            <color indexed="81"/>
            <rFont val="Tahoma"/>
            <family val="2"/>
          </rPr>
          <t xml:space="preserve">
Average value of Net CAPEX, which will be used in the valuation of Tauron in the next spreadsheet. It was taken as an average of the net capital expenditures from the last 5 years' activity.</t>
        </r>
      </text>
    </comment>
    <comment ref="F20" authorId="0" shapeId="0" xr:uid="{64BB7AEC-B6F6-44E2-A331-D2454E61B892}">
      <text>
        <r>
          <rPr>
            <b/>
            <sz val="9"/>
            <color indexed="81"/>
            <rFont val="Tahoma"/>
            <family val="2"/>
          </rPr>
          <t>Vijayant Mehla:</t>
        </r>
        <r>
          <rPr>
            <sz val="9"/>
            <color indexed="81"/>
            <rFont val="Tahoma"/>
            <family val="2"/>
          </rPr>
          <t xml:space="preserve">
Value of NCOWC from last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Daniele Melotti</author>
  </authors>
  <commentList>
    <comment ref="H8" authorId="0" shapeId="0" xr:uid="{B73635A5-DEF3-4BE7-9CC4-AC5C89EE462E}">
      <text>
        <r>
          <rPr>
            <b/>
            <sz val="9"/>
            <color indexed="81"/>
            <rFont val="Tahoma"/>
            <family val="2"/>
          </rPr>
          <t>Vijayant Mehla:</t>
        </r>
        <r>
          <rPr>
            <sz val="9"/>
            <color indexed="81"/>
            <rFont val="Tahoma"/>
            <family val="2"/>
          </rPr>
          <t xml:space="preserve">
The first five years' sales growth were taken from analysts reports (simplywall.st, Dom Maklerski BDM). The expected growth rate for the first year is impressive (12,4%), however, the company's last 5 years' historical growth rate was 5,9%, which seems more accurate, even for a further estimation. </t>
        </r>
      </text>
    </comment>
    <comment ref="M8" authorId="0" shapeId="0" xr:uid="{D8F8188A-9346-470A-89EF-240E551273B2}">
      <text>
        <r>
          <rPr>
            <b/>
            <sz val="9"/>
            <color indexed="81"/>
            <rFont val="Tahoma"/>
            <family val="2"/>
          </rPr>
          <t>Vijayant Mehla:</t>
        </r>
        <r>
          <rPr>
            <sz val="9"/>
            <color indexed="81"/>
            <rFont val="Tahoma"/>
            <family val="2"/>
          </rPr>
          <t xml:space="preserve">
We consider a 0% growth rate in the last 5 years of forecast, in a context of no growth.</t>
        </r>
      </text>
    </comment>
    <comment ref="B9" authorId="0" shapeId="0" xr:uid="{8B4265ED-FC33-4C0C-BAD4-2812C408D4D1}">
      <text>
        <r>
          <rPr>
            <b/>
            <sz val="9"/>
            <color indexed="81"/>
            <rFont val="Tahoma"/>
            <family val="2"/>
          </rPr>
          <t>Vijayant Mehla:</t>
        </r>
        <r>
          <rPr>
            <sz val="9"/>
            <color indexed="81"/>
            <rFont val="Tahoma"/>
            <family val="2"/>
          </rPr>
          <t xml:space="preserve">
Operating profit margin after exclusion of non recurring items.</t>
        </r>
      </text>
    </comment>
    <comment ref="M9" authorId="0" shapeId="0" xr:uid="{094B4B37-A932-4782-8692-9EF215486835}">
      <text>
        <r>
          <rPr>
            <b/>
            <sz val="9"/>
            <color indexed="81"/>
            <rFont val="Tahoma"/>
            <family val="2"/>
          </rPr>
          <t>Vijayant Mehla:</t>
        </r>
        <r>
          <rPr>
            <sz val="9"/>
            <color indexed="81"/>
            <rFont val="Tahoma"/>
            <family val="2"/>
          </rPr>
          <t xml:space="preserve">
We consider a constant operating profit margin, obtained from the historical average of the last 5 years of activity.</t>
        </r>
      </text>
    </comment>
    <comment ref="M10" authorId="0" shapeId="0" xr:uid="{341EA111-225C-49BE-BA33-2C7D057411B0}">
      <text>
        <r>
          <rPr>
            <b/>
            <sz val="9"/>
            <color indexed="81"/>
            <rFont val="Tahoma"/>
            <family val="2"/>
          </rPr>
          <t>Vijayant Mehla:</t>
        </r>
        <r>
          <rPr>
            <sz val="9"/>
            <color indexed="81"/>
            <rFont val="Tahoma"/>
            <family val="2"/>
          </rPr>
          <t xml:space="preserve">
In the first 5 years we assumed a 0% Net CAPEX growth rate, however, in the last 5 years we imagined a -20% growth, assuming that the company would reduce its CAPEX.</t>
        </r>
      </text>
    </comment>
    <comment ref="B12" authorId="0" shapeId="0" xr:uid="{49D7F740-33E2-4240-B30E-185FAACE0DA5}">
      <text>
        <r>
          <rPr>
            <b/>
            <sz val="9"/>
            <color indexed="81"/>
            <rFont val="Tahoma"/>
            <family val="2"/>
          </rPr>
          <t>Vijayant Mehla:</t>
        </r>
        <r>
          <rPr>
            <sz val="9"/>
            <color indexed="81"/>
            <rFont val="Tahoma"/>
            <family val="2"/>
          </rPr>
          <t xml:space="preserve">
The tax rate is the same which was calculated in Assignment No. 1.</t>
        </r>
      </text>
    </comment>
    <comment ref="C15" authorId="0" shapeId="0" xr:uid="{AB430758-A6BA-4CAB-AF6D-F93C4EF5907C}">
      <text>
        <r>
          <rPr>
            <b/>
            <sz val="9"/>
            <color indexed="81"/>
            <rFont val="Tahoma"/>
            <family val="2"/>
          </rPr>
          <t>Vijayant Mehla:</t>
        </r>
        <r>
          <rPr>
            <sz val="9"/>
            <color indexed="81"/>
            <rFont val="Tahoma"/>
            <family val="2"/>
          </rPr>
          <t xml:space="preserve">
The discount rate correspopnds to the WACC calculated in Assignment No.1.</t>
        </r>
      </text>
    </comment>
    <comment ref="M27" authorId="0" shapeId="0" xr:uid="{E36123D5-4939-4F85-B1CC-EC82DC6714E0}">
      <text>
        <r>
          <rPr>
            <b/>
            <sz val="9"/>
            <color indexed="81"/>
            <rFont val="Tahoma"/>
            <family val="2"/>
          </rPr>
          <t>Vijayant Mehla:</t>
        </r>
        <r>
          <rPr>
            <sz val="9"/>
            <color indexed="81"/>
            <rFont val="Tahoma"/>
            <family val="2"/>
          </rPr>
          <t xml:space="preserve">
Net CAPEX expenditures will remain on the same level for the first 5 years of forecast, and then reduce by 20% each next year.
</t>
        </r>
      </text>
    </comment>
    <comment ref="M29" authorId="0" shapeId="0" xr:uid="{BDB896BC-6771-4531-8A9C-7B234AEEEC06}">
      <text>
        <r>
          <rPr>
            <b/>
            <sz val="9"/>
            <color indexed="81"/>
            <rFont val="Tahoma"/>
            <family val="2"/>
          </rPr>
          <t>Vijayant Mehla:</t>
        </r>
        <r>
          <rPr>
            <sz val="9"/>
            <color indexed="81"/>
            <rFont val="Tahoma"/>
            <family val="2"/>
          </rPr>
          <t xml:space="preserve">
The free cash flow to firm is predicted as negative for the first
 5 years, however constantly increasing.</t>
        </r>
      </text>
    </comment>
    <comment ref="M32" authorId="0" shapeId="0" xr:uid="{35B57891-1842-4570-81E8-099FD3010FC1}">
      <text>
        <r>
          <rPr>
            <b/>
            <sz val="9"/>
            <color indexed="81"/>
            <rFont val="Tahoma"/>
            <family val="2"/>
          </rPr>
          <t>Vijayant Mehla:</t>
        </r>
        <r>
          <rPr>
            <sz val="9"/>
            <color indexed="81"/>
            <rFont val="Tahoma"/>
            <family val="2"/>
          </rPr>
          <t xml:space="preserve">
The progression of the discounted cash flow approximately resembles to the FCFF's, turning positive in the sixth year.</t>
        </r>
      </text>
    </comment>
    <comment ref="D33" authorId="0" shapeId="0" xr:uid="{63B9F84F-1A57-4507-AC22-EE02149869BC}">
      <text>
        <r>
          <rPr>
            <b/>
            <sz val="9"/>
            <color indexed="81"/>
            <rFont val="Tahoma"/>
            <family val="2"/>
          </rPr>
          <t>Vijayant Mehla:</t>
        </r>
        <r>
          <rPr>
            <sz val="9"/>
            <color indexed="81"/>
            <rFont val="Tahoma"/>
            <family val="2"/>
          </rPr>
          <t xml:space="preserve">
Companies in the energy and oil industries tipycally have negative cash flows, indicating their constant investment and commitment. Tauron PE S.A. has a debt to EBITDA ratio of approximately 8, which is acceptable in these investment-intensive industries.</t>
        </r>
      </text>
    </comment>
    <comment ref="H36" authorId="0" shapeId="0" xr:uid="{6DE761BC-AED2-42E4-9028-4664F5BB4B5C}">
      <text>
        <r>
          <rPr>
            <b/>
            <sz val="9"/>
            <color indexed="81"/>
            <rFont val="Tahoma"/>
            <family val="2"/>
          </rPr>
          <t xml:space="preserve">Vijayant Mehla:
</t>
        </r>
        <r>
          <rPr>
            <sz val="9"/>
            <color indexed="81"/>
            <rFont val="Tahoma"/>
            <family val="2"/>
          </rPr>
          <t>This is assumed 0% as a consequence of Sales trend and long-term market factors.</t>
        </r>
      </text>
    </comment>
    <comment ref="D50" authorId="0" shapeId="0" xr:uid="{AA393E6A-C317-49C8-B8B7-8E6A6076A9D2}">
      <text>
        <r>
          <rPr>
            <b/>
            <sz val="9"/>
            <color indexed="81"/>
            <rFont val="Tahoma"/>
            <family val="2"/>
          </rPr>
          <t>Vijayant Mehla:</t>
        </r>
        <r>
          <rPr>
            <sz val="9"/>
            <color indexed="81"/>
            <rFont val="Tahoma"/>
            <family val="2"/>
          </rPr>
          <t xml:space="preserve">
Intrinsic value of one stock, obtained by dividing the value of common equity by the number of common shares outstanding.</t>
        </r>
      </text>
    </comment>
  </commentList>
</comments>
</file>

<file path=xl/sharedStrings.xml><?xml version="1.0" encoding="utf-8"?>
<sst xmlns="http://schemas.openxmlformats.org/spreadsheetml/2006/main" count="63" uniqueCount="62">
  <si>
    <t>Operating profit margin</t>
  </si>
  <si>
    <t>Key Input Data</t>
  </si>
  <si>
    <t>Sales growth rate</t>
  </si>
  <si>
    <t>Net capital expenditures growth rate</t>
  </si>
  <si>
    <t>Tax rate</t>
  </si>
  <si>
    <t>NOPAT</t>
  </si>
  <si>
    <t>Capex</t>
  </si>
  <si>
    <t>Depreciation and amortization</t>
  </si>
  <si>
    <t>Net capital expenditures</t>
  </si>
  <si>
    <t>Value of common equity</t>
  </si>
  <si>
    <t>Calculation of Firm Intrinsic Value</t>
  </si>
  <si>
    <t>Discount factor</t>
  </si>
  <si>
    <t>PV of Firm Residual Value</t>
  </si>
  <si>
    <t>FCFF</t>
  </si>
  <si>
    <t>Long-run FCFF growth rate</t>
  </si>
  <si>
    <t>PV of Firm RV</t>
  </si>
  <si>
    <t>Residual (Terminal)  Firm Value</t>
  </si>
  <si>
    <t>Historical average</t>
  </si>
  <si>
    <t>Discount rate</t>
  </si>
  <si>
    <t>Last year</t>
  </si>
  <si>
    <t>Last year sales</t>
  </si>
  <si>
    <t>EBIT forecast</t>
  </si>
  <si>
    <t>DCF</t>
  </si>
  <si>
    <t>Change in NCOWC</t>
  </si>
  <si>
    <t>NCOWC</t>
  </si>
  <si>
    <t>Common shares outstanding (millions)</t>
  </si>
  <si>
    <t>Depreciation</t>
  </si>
  <si>
    <t>EBIT</t>
  </si>
  <si>
    <t>CAPEX</t>
  </si>
  <si>
    <t>Average</t>
  </si>
  <si>
    <t>Sales (without non-recurring items)</t>
  </si>
  <si>
    <t>Historical operating profit margin</t>
  </si>
  <si>
    <t>Net CAPEX</t>
  </si>
  <si>
    <t>Inventories</t>
  </si>
  <si>
    <t>Receivables</t>
  </si>
  <si>
    <t>Payables</t>
  </si>
  <si>
    <t>Data from financial statements:</t>
  </si>
  <si>
    <t>Additional calculations:</t>
  </si>
  <si>
    <t>Sales forecast</t>
  </si>
  <si>
    <r>
      <t xml:space="preserve">Non-operating assets </t>
    </r>
    <r>
      <rPr>
        <sz val="10"/>
        <rFont val="Calibri"/>
        <family val="2"/>
        <charset val="238"/>
        <scheme val="minor"/>
      </rPr>
      <t>(e.g. cash and marketable securities)</t>
    </r>
  </si>
  <si>
    <t>Cash and marketable securities</t>
  </si>
  <si>
    <t>Long-term-debt (financial liabilities)</t>
  </si>
  <si>
    <t>Market value of debt</t>
  </si>
  <si>
    <t>Total value of the company</t>
  </si>
  <si>
    <t>Free Cash Flow - Year 11</t>
  </si>
  <si>
    <t>RV of Firm - Year 10</t>
  </si>
  <si>
    <t>Free Cash Flow (in millions of PLN)</t>
  </si>
  <si>
    <t>PV of FCF (Years 1-10)</t>
  </si>
  <si>
    <t>in millions (PLN)</t>
  </si>
  <si>
    <t>Short-term debt (financial liabilities)</t>
  </si>
  <si>
    <t>PV of FCF (1-10)</t>
  </si>
  <si>
    <r>
      <t xml:space="preserve">Stock intrinsic value </t>
    </r>
    <r>
      <rPr>
        <b/>
        <sz val="10"/>
        <color rgb="FFFF0000"/>
        <rFont val="Calibri"/>
        <family val="2"/>
        <charset val="238"/>
        <scheme val="minor"/>
      </rPr>
      <t xml:space="preserve"> (at the beginning of 2019)</t>
    </r>
  </si>
  <si>
    <t>FIRM VALUATION BASED ON FCF PROJECTION - TAURON Polska Energia S.A.</t>
  </si>
  <si>
    <t>EBITDA</t>
  </si>
  <si>
    <t>Debt = Total Liabilities</t>
  </si>
  <si>
    <t>Debt to EBITDA ratio</t>
  </si>
  <si>
    <t>Historical sales growth rate (2014-2018)</t>
  </si>
  <si>
    <t>2014-2018</t>
  </si>
  <si>
    <t>Extra data (Q1-Q3 of 2019):</t>
  </si>
  <si>
    <t>It is visible how the sales growth will stop after year 5 due to the null growth rate. This will have an influence on EBIT forecast, NOPAT and NCOWC. Moreover, relating to the change in NCOWC we can notice that the value will be equal to zero in the last 5 years of forecast, as NCOWC will remain the same during this period.</t>
  </si>
  <si>
    <t>Here is shown the last update from the actual stocks current market price on the Warsaw Stock Exchange. We comment that, as a consequence of high debt to EBITDA ratio and negative cash flows for next first 5 years, our stock's intrinsic value is lower than its current market trading price. Hence, we would recommend not to buy the stock.</t>
  </si>
  <si>
    <t xml:space="preserve">
If we had assumed the same growth rate computed by other analysts (12,40% for the next 5 years), the stock’s intrinsic value would have risen to 5,07 PLN which would also be more attuned to analysts’ prediction of 5,57 PLN (simplywall.st)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</si>
</sst>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0\)"/>
    <numFmt numFmtId="165" formatCode="0.0%"/>
    <numFmt numFmtId="166" formatCode="#,##0.0_);\(#,##0.0\)"/>
    <numFmt numFmtId="167" formatCode="_-* #,##0\ [$PLN]_-;\-* #,##0\ [$PLN]_-;_-* &quot;-&quot;??\ [$PLN]_-;_-@_-"/>
    <numFmt numFmtId="168" formatCode="_-* #,##0.0\ [$PLN]_-;\-* #,##0.0\ [$PLN]_-;_-* &quot;-&quot;??\ [$PLN]_-;_-@_-"/>
    <numFmt numFmtId="169" formatCode="_-* #,##0.00\ [$PLN]_-;\-* #,##0.00\ [$PLN]_-;_-* &quot;-&quot;??\ [$PLN]_-;_-@_-"/>
  </numFmts>
  <fonts count="25">
    <font>
      <sz val="10"/>
      <color indexed="22"/>
      <name val="Arial"/>
      <charset val="238"/>
    </font>
    <font>
      <b/>
      <sz val="18"/>
      <color indexed="22"/>
      <name val="Arial"/>
      <family val="2"/>
      <charset val="238"/>
    </font>
    <font>
      <b/>
      <sz val="12"/>
      <color indexed="22"/>
      <name val="Arial"/>
      <family val="2"/>
      <charset val="238"/>
    </font>
    <font>
      <sz val="10"/>
      <color indexed="22"/>
      <name val="Arial"/>
      <family val="2"/>
      <charset val="238"/>
    </font>
    <font>
      <sz val="10"/>
      <color indexed="22"/>
      <name val="Arial"/>
      <family val="2"/>
      <charset val="238"/>
    </font>
    <font>
      <sz val="14"/>
      <color theme="0"/>
      <name val="Calibri"/>
      <family val="2"/>
      <charset val="238"/>
      <scheme val="minor"/>
    </font>
    <font>
      <sz val="10"/>
      <color theme="0"/>
      <name val="Calibri"/>
      <family val="2"/>
      <charset val="238"/>
      <scheme val="minor"/>
    </font>
    <font>
      <sz val="10"/>
      <color indexed="22"/>
      <name val="Calibri"/>
      <family val="2"/>
      <charset val="238"/>
      <scheme val="minor"/>
    </font>
    <font>
      <b/>
      <sz val="10"/>
      <name val="Calibri"/>
      <family val="2"/>
      <charset val="238"/>
      <scheme val="minor"/>
    </font>
    <font>
      <b/>
      <sz val="10"/>
      <color indexed="16"/>
      <name val="Calibri"/>
      <family val="2"/>
      <charset val="238"/>
      <scheme val="minor"/>
    </font>
    <font>
      <sz val="10"/>
      <name val="Calibri"/>
      <family val="2"/>
      <charset val="238"/>
      <scheme val="minor"/>
    </font>
    <font>
      <b/>
      <sz val="10"/>
      <color theme="0"/>
      <name val="Calibri"/>
      <family val="2"/>
      <charset val="238"/>
      <scheme val="minor"/>
    </font>
    <font>
      <b/>
      <sz val="10"/>
      <color rgb="FFFF0000"/>
      <name val="Calibri"/>
      <family val="2"/>
      <charset val="238"/>
      <scheme val="minor"/>
    </font>
    <font>
      <sz val="10"/>
      <color indexed="12"/>
      <name val="Calibri"/>
      <family val="2"/>
      <charset val="238"/>
      <scheme val="minor"/>
    </font>
    <font>
      <sz val="10"/>
      <color rgb="FFFF0000"/>
      <name val="Calibri"/>
      <family val="2"/>
      <charset val="238"/>
      <scheme val="minor"/>
    </font>
    <font>
      <sz val="11"/>
      <color theme="1"/>
      <name val="Czcionka tekstu podstawowego"/>
      <family val="2"/>
      <charset val="238"/>
    </font>
    <font>
      <b/>
      <sz val="10"/>
      <color rgb="FFFF0000"/>
      <name val="Calibri"/>
      <family val="2"/>
      <scheme val="minor"/>
    </font>
    <font>
      <i/>
      <sz val="10"/>
      <color rgb="FFFF0000"/>
      <name val="Calibri"/>
      <family val="2"/>
      <scheme val="minor"/>
    </font>
    <font>
      <b/>
      <i/>
      <u/>
      <sz val="10"/>
      <color rgb="FFFF0000"/>
      <name val="Calibri"/>
      <family val="2"/>
      <scheme val="minor"/>
    </font>
    <font>
      <u/>
      <sz val="10"/>
      <color rgb="FFFF0000"/>
      <name val="Calibri"/>
      <family val="2"/>
      <charset val="238"/>
      <scheme val="minor"/>
    </font>
    <font>
      <i/>
      <sz val="10"/>
      <name val="Calibri"/>
      <family val="2"/>
      <scheme val="minor"/>
    </font>
    <font>
      <sz val="9"/>
      <color indexed="81"/>
      <name val="Tahoma"/>
      <family val="2"/>
    </font>
    <font>
      <b/>
      <sz val="9"/>
      <color indexed="81"/>
      <name val="Tahoma"/>
      <family val="2"/>
    </font>
    <font>
      <sz val="10"/>
      <name val="Calibri"/>
      <family val="2"/>
      <scheme val="minor"/>
    </font>
    <font>
      <b/>
      <sz val="1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tint="4.9989318521683403E-2"/>
        <bgColor indexed="64"/>
      </patternFill>
    </fill>
  </fills>
  <borders count="11">
    <border>
      <left/>
      <right/>
      <top/>
      <bottom/>
      <diagonal/>
    </border>
    <border>
      <left/>
      <right/>
      <top style="double">
        <color indexed="64"/>
      </top>
      <bottom/>
      <diagonal/>
    </border>
    <border>
      <left/>
      <right/>
      <top/>
      <bottom style="medium">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2">
    <xf numFmtId="0" fontId="0" fillId="0" borderId="0"/>
    <xf numFmtId="3" fontId="3" fillId="0" borderId="0" applyFont="0" applyFill="0" applyBorder="0" applyAlignment="0" applyProtection="0"/>
    <xf numFmtId="164" fontId="3" fillId="0" borderId="0" applyFont="0" applyFill="0" applyBorder="0" applyAlignment="0" applyProtection="0"/>
    <xf numFmtId="0" fontId="3" fillId="0" borderId="0" applyFont="0" applyFill="0" applyBorder="0" applyAlignment="0" applyProtection="0"/>
    <xf numFmtId="2" fontId="3" fillId="0" borderId="0" applyFon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xf numFmtId="10" fontId="3" fillId="0" borderId="0" applyFont="0" applyFill="0" applyBorder="0" applyAlignment="0" applyProtection="0"/>
    <xf numFmtId="0" fontId="3" fillId="0" borderId="1" applyNumberFormat="0" applyFont="0" applyFill="0" applyAlignment="0" applyProtection="0"/>
    <xf numFmtId="0" fontId="15" fillId="0" borderId="0"/>
    <xf numFmtId="9" fontId="15" fillId="0" borderId="0" applyFont="0" applyFill="0" applyBorder="0" applyAlignment="0" applyProtection="0"/>
  </cellStyleXfs>
  <cellXfs count="114">
    <xf numFmtId="0" fontId="0" fillId="0" borderId="0" xfId="0"/>
    <xf numFmtId="0" fontId="5" fillId="2" borderId="0" xfId="0" applyFont="1" applyFill="1"/>
    <xf numFmtId="0" fontId="6" fillId="2" borderId="0" xfId="0" applyFont="1" applyFill="1"/>
    <xf numFmtId="0" fontId="7" fillId="0" borderId="0" xfId="0" applyFont="1"/>
    <xf numFmtId="0" fontId="9" fillId="0" borderId="0" xfId="0" applyFont="1"/>
    <xf numFmtId="0" fontId="8" fillId="0" borderId="0" xfId="0" applyFont="1"/>
    <xf numFmtId="0" fontId="10" fillId="0" borderId="0" xfId="0" applyFont="1"/>
    <xf numFmtId="0" fontId="11" fillId="2" borderId="0" xfId="0" applyFont="1" applyFill="1"/>
    <xf numFmtId="0" fontId="8" fillId="3" borderId="0" xfId="0" applyFont="1" applyFill="1"/>
    <xf numFmtId="4" fontId="8" fillId="3" borderId="0" xfId="0" applyNumberFormat="1" applyFont="1" applyFill="1"/>
    <xf numFmtId="2" fontId="10" fillId="3" borderId="4" xfId="0" applyNumberFormat="1" applyFont="1" applyFill="1" applyBorder="1"/>
    <xf numFmtId="0" fontId="8" fillId="0" borderId="0" xfId="0" applyFont="1" applyFill="1" applyAlignment="1">
      <alignment horizontal="center"/>
    </xf>
    <xf numFmtId="0" fontId="8" fillId="0" borderId="0" xfId="0" applyFont="1" applyFill="1" applyBorder="1" applyAlignment="1">
      <alignment horizontal="center"/>
    </xf>
    <xf numFmtId="0" fontId="9" fillId="0" borderId="0" xfId="0" applyFont="1" applyFill="1" applyBorder="1" applyAlignment="1">
      <alignment horizontal="center"/>
    </xf>
    <xf numFmtId="0" fontId="9" fillId="0" borderId="2" xfId="0" applyFont="1" applyFill="1" applyBorder="1" applyAlignment="1">
      <alignment horizontal="center"/>
    </xf>
    <xf numFmtId="165" fontId="10" fillId="0" borderId="0" xfId="0" applyNumberFormat="1" applyFont="1" applyFill="1" applyAlignment="1">
      <alignment horizontal="center"/>
    </xf>
    <xf numFmtId="0" fontId="7" fillId="0" borderId="0" xfId="0" applyFont="1" applyFill="1"/>
    <xf numFmtId="165" fontId="13" fillId="0" borderId="0" xfId="0" applyNumberFormat="1" applyFont="1" applyFill="1" applyAlignment="1">
      <alignment horizontal="center"/>
    </xf>
    <xf numFmtId="0" fontId="13" fillId="0" borderId="0" xfId="0" applyFont="1" applyFill="1" applyAlignment="1">
      <alignment horizontal="center"/>
    </xf>
    <xf numFmtId="0" fontId="8" fillId="0" borderId="0" xfId="0" applyFont="1" applyFill="1"/>
    <xf numFmtId="166" fontId="8" fillId="0" borderId="0" xfId="0" applyNumberFormat="1" applyFont="1" applyFill="1" applyBorder="1"/>
    <xf numFmtId="4" fontId="8" fillId="0" borderId="0" xfId="0" applyNumberFormat="1" applyFont="1" applyFill="1"/>
    <xf numFmtId="3" fontId="8" fillId="0" borderId="0" xfId="0" applyNumberFormat="1" applyFont="1" applyFill="1"/>
    <xf numFmtId="0" fontId="8" fillId="0" borderId="0" xfId="0" applyFont="1" applyFill="1" applyAlignment="1">
      <alignment horizontal="center" vertical="center"/>
    </xf>
    <xf numFmtId="10" fontId="10" fillId="0" borderId="0" xfId="8" applyFont="1"/>
    <xf numFmtId="10" fontId="10" fillId="0" borderId="0" xfId="8" applyNumberFormat="1" applyFont="1"/>
    <xf numFmtId="0" fontId="8" fillId="0" borderId="4" xfId="0" applyFont="1" applyFill="1" applyBorder="1" applyAlignment="1">
      <alignment horizontal="center"/>
    </xf>
    <xf numFmtId="0" fontId="8" fillId="0" borderId="4" xfId="0" applyFont="1" applyFill="1" applyBorder="1"/>
    <xf numFmtId="0" fontId="10" fillId="0" borderId="0" xfId="0" applyFont="1" applyFill="1"/>
    <xf numFmtId="0" fontId="10" fillId="0" borderId="4" xfId="0" applyFont="1" applyFill="1" applyBorder="1"/>
    <xf numFmtId="10" fontId="10" fillId="0" borderId="4" xfId="0" applyNumberFormat="1" applyFont="1" applyFill="1" applyBorder="1"/>
    <xf numFmtId="9" fontId="10" fillId="0" borderId="4" xfId="0" applyNumberFormat="1" applyFont="1" applyFill="1" applyBorder="1"/>
    <xf numFmtId="0" fontId="7" fillId="0" borderId="4" xfId="0" applyFont="1" applyFill="1" applyBorder="1"/>
    <xf numFmtId="37" fontId="8" fillId="0" borderId="4" xfId="0" applyNumberFormat="1" applyFont="1" applyFill="1" applyBorder="1"/>
    <xf numFmtId="4" fontId="12" fillId="0" borderId="0" xfId="0" applyNumberFormat="1" applyFont="1" applyFill="1"/>
    <xf numFmtId="166" fontId="8" fillId="0" borderId="4" xfId="0" applyNumberFormat="1" applyFont="1" applyFill="1" applyBorder="1"/>
    <xf numFmtId="39" fontId="8" fillId="3" borderId="0" xfId="0" applyNumberFormat="1" applyFont="1" applyFill="1" applyBorder="1"/>
    <xf numFmtId="2" fontId="10" fillId="3" borderId="0" xfId="0" applyNumberFormat="1" applyFont="1" applyFill="1"/>
    <xf numFmtId="4" fontId="8" fillId="3" borderId="0" xfId="0" applyNumberFormat="1" applyFont="1" applyFill="1" applyBorder="1"/>
    <xf numFmtId="4" fontId="8" fillId="3" borderId="3" xfId="0" applyNumberFormat="1" applyFont="1" applyFill="1" applyBorder="1"/>
    <xf numFmtId="167" fontId="10" fillId="0" borderId="0" xfId="0" applyNumberFormat="1" applyFont="1"/>
    <xf numFmtId="167" fontId="16" fillId="0" borderId="0" xfId="0" applyNumberFormat="1" applyFont="1" applyAlignment="1">
      <alignment vertical="center"/>
    </xf>
    <xf numFmtId="10" fontId="10" fillId="0" borderId="0" xfId="8" applyNumberFormat="1" applyFont="1" applyFill="1" applyAlignment="1">
      <alignment horizontal="center"/>
    </xf>
    <xf numFmtId="10" fontId="10" fillId="0" borderId="0" xfId="0" applyNumberFormat="1" applyFont="1" applyFill="1" applyAlignment="1">
      <alignment horizontal="center"/>
    </xf>
    <xf numFmtId="0" fontId="18" fillId="0" borderId="0" xfId="0" applyFont="1" applyFill="1"/>
    <xf numFmtId="0" fontId="17" fillId="0" borderId="0" xfId="0" applyFont="1" applyBorder="1" applyAlignment="1">
      <alignment wrapText="1"/>
    </xf>
    <xf numFmtId="0" fontId="7" fillId="0" borderId="0" xfId="0" applyFont="1" applyBorder="1"/>
    <xf numFmtId="0" fontId="19" fillId="0" borderId="0" xfId="0" applyFont="1" applyFill="1"/>
    <xf numFmtId="0" fontId="18" fillId="0" borderId="0" xfId="0" applyFont="1" applyAlignment="1"/>
    <xf numFmtId="10" fontId="10" fillId="4" borderId="0" xfId="0" applyNumberFormat="1" applyFont="1" applyFill="1" applyAlignment="1">
      <alignment horizontal="center"/>
    </xf>
    <xf numFmtId="165" fontId="8" fillId="4" borderId="0" xfId="0" applyNumberFormat="1" applyFont="1" applyFill="1" applyAlignment="1">
      <alignment horizontal="right"/>
    </xf>
    <xf numFmtId="4" fontId="8" fillId="4" borderId="3" xfId="0" applyNumberFormat="1" applyFont="1" applyFill="1" applyBorder="1" applyAlignment="1">
      <alignment horizontal="right"/>
    </xf>
    <xf numFmtId="0" fontId="20" fillId="0" borderId="0" xfId="0" applyFont="1"/>
    <xf numFmtId="0" fontId="20" fillId="0" borderId="0" xfId="0" applyFont="1" applyAlignment="1"/>
    <xf numFmtId="0" fontId="17" fillId="0" borderId="0" xfId="0" applyFont="1" applyBorder="1" applyAlignment="1"/>
    <xf numFmtId="0" fontId="10" fillId="0" borderId="0" xfId="0" applyFont="1" applyAlignment="1">
      <alignment vertical="center"/>
    </xf>
    <xf numFmtId="0" fontId="20" fillId="0" borderId="0" xfId="0" applyFont="1" applyBorder="1" applyAlignment="1"/>
    <xf numFmtId="0" fontId="20" fillId="0" borderId="0" xfId="0" applyFont="1" applyAlignment="1">
      <alignment vertical="center"/>
    </xf>
    <xf numFmtId="10" fontId="10" fillId="4" borderId="0" xfId="8" applyNumberFormat="1" applyFont="1" applyFill="1"/>
    <xf numFmtId="0" fontId="7" fillId="0" borderId="2" xfId="0" applyFont="1" applyBorder="1"/>
    <xf numFmtId="0" fontId="17" fillId="0" borderId="2" xfId="0" applyFont="1" applyBorder="1" applyAlignment="1">
      <alignment wrapText="1"/>
    </xf>
    <xf numFmtId="10" fontId="10" fillId="0" borderId="4" xfId="8" applyNumberFormat="1" applyFont="1" applyFill="1" applyBorder="1"/>
    <xf numFmtId="10" fontId="10" fillId="4" borderId="0" xfId="0" applyNumberFormat="1" applyFont="1" applyFill="1"/>
    <xf numFmtId="10" fontId="10" fillId="4" borderId="4" xfId="8" applyNumberFormat="1" applyFont="1" applyFill="1" applyBorder="1"/>
    <xf numFmtId="39" fontId="8" fillId="4" borderId="4" xfId="0" applyNumberFormat="1" applyFont="1" applyFill="1" applyBorder="1"/>
    <xf numFmtId="4" fontId="8" fillId="4" borderId="0" xfId="0" applyNumberFormat="1" applyFont="1" applyFill="1"/>
    <xf numFmtId="4" fontId="8" fillId="4" borderId="4" xfId="0" applyNumberFormat="1" applyFont="1" applyFill="1" applyBorder="1"/>
    <xf numFmtId="0" fontId="23" fillId="0" borderId="0" xfId="0" applyFont="1"/>
    <xf numFmtId="0" fontId="24" fillId="0" borderId="0" xfId="0" applyFont="1"/>
    <xf numFmtId="10" fontId="24" fillId="4" borderId="0" xfId="0" applyNumberFormat="1" applyFont="1" applyFill="1"/>
    <xf numFmtId="0" fontId="20" fillId="0" borderId="4" xfId="0" applyFont="1" applyFill="1" applyBorder="1" applyAlignment="1"/>
    <xf numFmtId="0" fontId="20" fillId="0" borderId="0" xfId="0" applyFont="1" applyFill="1" applyAlignment="1"/>
    <xf numFmtId="0" fontId="8" fillId="0" borderId="2" xfId="0" applyFont="1" applyBorder="1"/>
    <xf numFmtId="10" fontId="23" fillId="0" borderId="0" xfId="0" applyNumberFormat="1" applyFont="1"/>
    <xf numFmtId="0" fontId="14" fillId="0" borderId="0" xfId="0" applyFont="1"/>
    <xf numFmtId="0" fontId="14" fillId="0" borderId="0" xfId="0" applyFont="1" applyAlignment="1">
      <alignment vertical="center"/>
    </xf>
    <xf numFmtId="2" fontId="23" fillId="0" borderId="0" xfId="0" applyNumberFormat="1" applyFont="1" applyAlignment="1">
      <alignment vertical="center"/>
    </xf>
    <xf numFmtId="0" fontId="6" fillId="5" borderId="0" xfId="0" applyFont="1" applyFill="1"/>
    <xf numFmtId="0" fontId="7" fillId="5" borderId="0" xfId="0" applyFont="1" applyFill="1"/>
    <xf numFmtId="168" fontId="10" fillId="0" borderId="0" xfId="0" applyNumberFormat="1" applyFont="1"/>
    <xf numFmtId="169" fontId="10" fillId="0" borderId="0" xfId="0" applyNumberFormat="1" applyFont="1"/>
    <xf numFmtId="169" fontId="24" fillId="4" borderId="0" xfId="0" applyNumberFormat="1" applyFont="1" applyFill="1"/>
    <xf numFmtId="169" fontId="24" fillId="4" borderId="0" xfId="0" applyNumberFormat="1" applyFont="1" applyFill="1" applyAlignment="1">
      <alignment vertical="center"/>
    </xf>
    <xf numFmtId="0" fontId="17" fillId="0" borderId="0" xfId="0" applyFont="1" applyFill="1" applyAlignment="1"/>
    <xf numFmtId="0" fontId="7" fillId="0" borderId="0" xfId="0" applyFont="1" applyFill="1" applyBorder="1"/>
    <xf numFmtId="169" fontId="24" fillId="4" borderId="0" xfId="0" applyNumberFormat="1" applyFont="1" applyFill="1" applyAlignment="1">
      <alignment horizontal="center" vertical="center" wrapText="1"/>
    </xf>
    <xf numFmtId="0" fontId="24" fillId="0" borderId="0" xfId="0" applyFont="1" applyAlignment="1">
      <alignment horizontal="center" wrapText="1"/>
    </xf>
    <xf numFmtId="0" fontId="20" fillId="0" borderId="5" xfId="0" applyFont="1" applyBorder="1" applyAlignment="1">
      <alignment horizontal="center" vertical="center" wrapText="1"/>
    </xf>
    <xf numFmtId="0" fontId="20" fillId="0" borderId="6" xfId="0" applyFont="1" applyBorder="1" applyAlignment="1">
      <alignment horizontal="center" vertical="center" wrapText="1"/>
    </xf>
    <xf numFmtId="0" fontId="20" fillId="0" borderId="7" xfId="0" applyFont="1" applyBorder="1" applyAlignment="1">
      <alignment horizontal="center" vertical="center" wrapText="1"/>
    </xf>
    <xf numFmtId="0" fontId="20" fillId="0" borderId="4" xfId="0" applyFont="1" applyBorder="1" applyAlignment="1">
      <alignment horizontal="center" vertical="center" wrapText="1"/>
    </xf>
    <xf numFmtId="0" fontId="20" fillId="0" borderId="0" xfId="0" applyFont="1" applyBorder="1" applyAlignment="1">
      <alignment horizontal="center" vertical="center" wrapText="1"/>
    </xf>
    <xf numFmtId="0" fontId="20" fillId="0" borderId="10" xfId="0" applyFont="1" applyBorder="1" applyAlignment="1">
      <alignment horizontal="center" vertical="center" wrapText="1"/>
    </xf>
    <xf numFmtId="0" fontId="20" fillId="0" borderId="8" xfId="0" applyFont="1" applyBorder="1" applyAlignment="1">
      <alignment horizontal="center" vertical="center" wrapText="1"/>
    </xf>
    <xf numFmtId="0" fontId="20" fillId="0" borderId="3" xfId="0" applyFont="1" applyBorder="1" applyAlignment="1">
      <alignment horizontal="center" vertical="center" wrapText="1"/>
    </xf>
    <xf numFmtId="0" fontId="20" fillId="0" borderId="9" xfId="0" applyFont="1" applyBorder="1" applyAlignment="1">
      <alignment horizontal="center" vertical="center" wrapText="1"/>
    </xf>
    <xf numFmtId="0" fontId="20" fillId="0" borderId="5" xfId="0" applyFont="1" applyFill="1" applyBorder="1" applyAlignment="1">
      <alignment horizontal="center" vertical="center" wrapText="1"/>
    </xf>
    <xf numFmtId="0" fontId="20" fillId="0" borderId="6" xfId="0" applyFont="1" applyFill="1" applyBorder="1" applyAlignment="1">
      <alignment horizontal="center" vertical="center" wrapText="1"/>
    </xf>
    <xf numFmtId="0" fontId="20" fillId="0" borderId="7" xfId="0" applyFont="1" applyFill="1" applyBorder="1" applyAlignment="1">
      <alignment horizontal="center" vertical="center" wrapText="1"/>
    </xf>
    <xf numFmtId="0" fontId="20" fillId="0" borderId="4"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20" fillId="0" borderId="10" xfId="0" applyFont="1" applyFill="1" applyBorder="1" applyAlignment="1">
      <alignment horizontal="center" vertical="center" wrapText="1"/>
    </xf>
    <xf numFmtId="0" fontId="20" fillId="0" borderId="8" xfId="0"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9" xfId="0" applyFont="1" applyFill="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9" xfId="0" applyFont="1" applyBorder="1" applyAlignment="1">
      <alignment horizontal="center" vertical="center" wrapText="1"/>
    </xf>
  </cellXfs>
  <cellStyles count="12">
    <cellStyle name="Comma0" xfId="1" xr:uid="{00000000-0005-0000-0000-000000000000}"/>
    <cellStyle name="Currency0" xfId="2" xr:uid="{00000000-0005-0000-0000-000003000000}"/>
    <cellStyle name="Date" xfId="3" xr:uid="{00000000-0005-0000-0000-000004000000}"/>
    <cellStyle name="Fixed" xfId="4" xr:uid="{00000000-0005-0000-0000-000005000000}"/>
    <cellStyle name="Heading 1" xfId="5" xr:uid="{00000000-0005-0000-0000-000006000000}"/>
    <cellStyle name="Heading 2" xfId="6" xr:uid="{00000000-0005-0000-0000-000007000000}"/>
    <cellStyle name="Normal" xfId="0" builtinId="0"/>
    <cellStyle name="Normal 2" xfId="10" xr:uid="{36A66246-5703-4C6C-98A0-92A30D01C196}"/>
    <cellStyle name="Normalny 2" xfId="7" xr:uid="{00000000-0005-0000-0000-00000A000000}"/>
    <cellStyle name="Percent" xfId="8" builtinId="5"/>
    <cellStyle name="Percent 2" xfId="11" xr:uid="{54E4C94B-77C6-4AD3-97B3-2478D80E67C4}"/>
    <cellStyle name="Total" xfId="9" xr:uid="{00000000-0005-0000-0000-00000D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57977</xdr:colOff>
      <xdr:row>53</xdr:row>
      <xdr:rowOff>41414</xdr:rowOff>
    </xdr:from>
    <xdr:to>
      <xdr:col>8</xdr:col>
      <xdr:colOff>720586</xdr:colOff>
      <xdr:row>65</xdr:row>
      <xdr:rowOff>29638</xdr:rowOff>
    </xdr:to>
    <xdr:pic>
      <xdr:nvPicPr>
        <xdr:cNvPr id="7" name="Picture 6">
          <a:extLst>
            <a:ext uri="{FF2B5EF4-FFF2-40B4-BE49-F238E27FC236}">
              <a16:creationId xmlns:a16="http://schemas.microsoft.com/office/drawing/2014/main" id="{3AED36D6-66A1-47D9-91D9-4FC9CF31E9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43129" y="9326218"/>
          <a:ext cx="6659218" cy="2075442"/>
        </a:xfrm>
        <a:prstGeom prst="rect">
          <a:avLst/>
        </a:prstGeom>
      </xdr:spPr>
    </xdr:pic>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K30"/>
  <sheetViews>
    <sheetView tabSelected="1" zoomScale="95" zoomScaleNormal="130" workbookViewId="0">
      <selection activeCell="F20" sqref="F20"/>
    </sheetView>
  </sheetViews>
  <sheetFormatPr defaultColWidth="9.140625" defaultRowHeight="12.75"/>
  <cols>
    <col min="1" max="1" width="32.7109375" style="6" customWidth="1"/>
    <col min="2" max="6" width="16.28515625" style="6" customWidth="1"/>
    <col min="7" max="7" width="16.7109375" style="6" customWidth="1"/>
    <col min="8" max="9" width="9.140625" style="6"/>
    <col min="10" max="10" width="12" style="6" bestFit="1" customWidth="1"/>
    <col min="11" max="16384" width="9.140625" style="6"/>
  </cols>
  <sheetData>
    <row r="1" spans="1:11">
      <c r="A1" s="5" t="s">
        <v>36</v>
      </c>
    </row>
    <row r="2" spans="1:11">
      <c r="A2" s="5" t="s">
        <v>48</v>
      </c>
    </row>
    <row r="3" spans="1:11" ht="13.5" thickBot="1">
      <c r="B3" s="72">
        <v>2014</v>
      </c>
      <c r="C3" s="72">
        <v>2015</v>
      </c>
      <c r="D3" s="72">
        <v>2016</v>
      </c>
      <c r="E3" s="72">
        <v>2017</v>
      </c>
      <c r="F3" s="72">
        <v>2018</v>
      </c>
    </row>
    <row r="4" spans="1:11">
      <c r="A4" s="6" t="s">
        <v>30</v>
      </c>
      <c r="B4" s="80">
        <v>18440.762999999999</v>
      </c>
      <c r="C4" s="80">
        <v>18264.439999999999</v>
      </c>
      <c r="D4" s="80">
        <v>17646.489000000001</v>
      </c>
      <c r="E4" s="80">
        <v>17424.550999999999</v>
      </c>
      <c r="F4" s="81">
        <v>18121.748</v>
      </c>
    </row>
    <row r="5" spans="1:11">
      <c r="A5" s="6" t="s">
        <v>27</v>
      </c>
      <c r="B5" s="80">
        <v>1830.1130000000001</v>
      </c>
      <c r="C5" s="80">
        <v>1901.1410000000001</v>
      </c>
      <c r="D5" s="80">
        <v>801.52200000000005</v>
      </c>
      <c r="E5" s="80">
        <v>1879.3209999999999</v>
      </c>
      <c r="F5" s="80">
        <v>790.72900000000004</v>
      </c>
    </row>
    <row r="6" spans="1:11">
      <c r="A6" s="6" t="s">
        <v>26</v>
      </c>
      <c r="B6" s="80">
        <v>1796.9169999999999</v>
      </c>
      <c r="C6" s="80">
        <v>1832.78</v>
      </c>
      <c r="D6" s="80">
        <v>1668.7260000000001</v>
      </c>
      <c r="E6" s="80">
        <v>1693.4680000000001</v>
      </c>
      <c r="F6" s="80">
        <v>1721.7829999999999</v>
      </c>
    </row>
    <row r="7" spans="1:11">
      <c r="A7" s="6" t="s">
        <v>28</v>
      </c>
      <c r="B7" s="80">
        <v>3089.5920000000001</v>
      </c>
      <c r="C7" s="80">
        <v>4175.47</v>
      </c>
      <c r="D7" s="80">
        <v>3816.8110000000001</v>
      </c>
      <c r="E7" s="80">
        <v>3474.1480000000001</v>
      </c>
      <c r="F7" s="80">
        <v>3672.0050000000001</v>
      </c>
    </row>
    <row r="8" spans="1:11">
      <c r="A8" s="6" t="s">
        <v>33</v>
      </c>
      <c r="B8" s="80">
        <v>527.596</v>
      </c>
      <c r="C8" s="80">
        <v>433.279</v>
      </c>
      <c r="D8" s="80">
        <v>486.12</v>
      </c>
      <c r="E8" s="80">
        <v>295.46300000000002</v>
      </c>
      <c r="F8" s="80">
        <v>509.80099999999999</v>
      </c>
    </row>
    <row r="9" spans="1:11">
      <c r="A9" s="6" t="s">
        <v>34</v>
      </c>
      <c r="B9" s="80">
        <v>1917.06</v>
      </c>
      <c r="C9" s="80">
        <v>1830.0329999999999</v>
      </c>
      <c r="D9" s="80">
        <v>1894.0650000000001</v>
      </c>
      <c r="E9" s="80">
        <v>2032.8130000000001</v>
      </c>
      <c r="F9" s="80">
        <v>2229.3629999999998</v>
      </c>
      <c r="G9" s="48"/>
      <c r="H9" s="48"/>
      <c r="I9" s="48"/>
      <c r="J9" s="48"/>
      <c r="K9" s="48"/>
    </row>
    <row r="10" spans="1:11">
      <c r="A10" s="6" t="s">
        <v>35</v>
      </c>
      <c r="B10" s="80">
        <v>916.74400000000003</v>
      </c>
      <c r="C10" s="80">
        <v>790.70600000000002</v>
      </c>
      <c r="D10" s="80">
        <v>829.72900000000004</v>
      </c>
      <c r="E10" s="80">
        <v>1042.4269999999999</v>
      </c>
      <c r="F10" s="80">
        <v>1127.7380000000001</v>
      </c>
      <c r="G10" s="47"/>
    </row>
    <row r="11" spans="1:11">
      <c r="A11" s="6" t="s">
        <v>40</v>
      </c>
      <c r="B11" s="80">
        <v>1420.9090000000001</v>
      </c>
      <c r="C11" s="80">
        <v>364.91199999999998</v>
      </c>
      <c r="D11" s="80">
        <v>384.88099999999997</v>
      </c>
      <c r="E11" s="80">
        <v>909.24900000000002</v>
      </c>
      <c r="F11" s="81">
        <v>823.72400000000005</v>
      </c>
      <c r="G11" s="67"/>
    </row>
    <row r="12" spans="1:11">
      <c r="A12" s="6" t="s">
        <v>49</v>
      </c>
      <c r="B12" s="80">
        <v>644.99099999999999</v>
      </c>
      <c r="C12" s="80">
        <v>3214.52</v>
      </c>
      <c r="D12" s="80">
        <v>218.047</v>
      </c>
      <c r="E12" s="80">
        <v>349.78500000000003</v>
      </c>
      <c r="F12" s="80">
        <v>2471.3560000000002</v>
      </c>
      <c r="G12" s="85">
        <f>SUM(F12:F13)</f>
        <v>9421.7180000000008</v>
      </c>
      <c r="J12" s="40"/>
    </row>
    <row r="13" spans="1:11">
      <c r="A13" s="6" t="s">
        <v>41</v>
      </c>
      <c r="B13" s="80">
        <v>8113.7659999999996</v>
      </c>
      <c r="C13" s="80">
        <v>8138.6469999999999</v>
      </c>
      <c r="D13" s="80">
        <v>7920.4589999999998</v>
      </c>
      <c r="E13" s="80">
        <v>8710.0589999999993</v>
      </c>
      <c r="F13" s="80">
        <v>6950.3620000000001</v>
      </c>
      <c r="G13" s="85"/>
    </row>
    <row r="14" spans="1:11">
      <c r="G14" s="67"/>
    </row>
    <row r="15" spans="1:11">
      <c r="A15" s="5" t="s">
        <v>37</v>
      </c>
      <c r="G15" s="67"/>
    </row>
    <row r="16" spans="1:11" ht="13.5" thickBot="1">
      <c r="B16" s="72">
        <f t="shared" ref="B16:C16" si="0">B3</f>
        <v>2014</v>
      </c>
      <c r="C16" s="72">
        <f t="shared" si="0"/>
        <v>2015</v>
      </c>
      <c r="D16" s="72">
        <f>D3</f>
        <v>2016</v>
      </c>
      <c r="E16" s="72">
        <f t="shared" ref="E16:F16" si="1">E3</f>
        <v>2017</v>
      </c>
      <c r="F16" s="72">
        <f t="shared" si="1"/>
        <v>2018</v>
      </c>
      <c r="G16" s="68" t="s">
        <v>29</v>
      </c>
    </row>
    <row r="17" spans="1:8">
      <c r="A17" s="6" t="s">
        <v>56</v>
      </c>
      <c r="B17" s="25"/>
      <c r="C17" s="25">
        <f t="shared" ref="C17:D17" si="2">C4/B4-1</f>
        <v>-9.5615891815322707E-3</v>
      </c>
      <c r="D17" s="25">
        <f t="shared" si="2"/>
        <v>-3.3833558543267528E-2</v>
      </c>
      <c r="E17" s="25">
        <f>E4/D4-1</f>
        <v>-1.2576892774534443E-2</v>
      </c>
      <c r="F17" s="25">
        <f>F4/E4-1</f>
        <v>4.0012336616306543E-2</v>
      </c>
      <c r="G17" s="73"/>
    </row>
    <row r="18" spans="1:8">
      <c r="A18" s="6" t="s">
        <v>31</v>
      </c>
      <c r="B18" s="24">
        <f t="shared" ref="B18:C18" si="3">B5/B4</f>
        <v>9.9242802480569825E-2</v>
      </c>
      <c r="C18" s="24">
        <f t="shared" si="3"/>
        <v>0.10408975035643032</v>
      </c>
      <c r="D18" s="24">
        <f>D5/D4</f>
        <v>4.5421046645596187E-2</v>
      </c>
      <c r="E18" s="24">
        <f t="shared" ref="E18:F18" si="4">E5/E4</f>
        <v>0.10785477341711704</v>
      </c>
      <c r="F18" s="24">
        <f t="shared" si="4"/>
        <v>4.3634256474596164E-2</v>
      </c>
      <c r="G18" s="69">
        <f>AVERAGE(B18:F18)</f>
        <v>8.0048525874861914E-2</v>
      </c>
      <c r="H18" s="28"/>
    </row>
    <row r="19" spans="1:8">
      <c r="A19" s="6" t="s">
        <v>32</v>
      </c>
      <c r="B19" s="80">
        <f t="shared" ref="B19:C19" si="5">B7-B6</f>
        <v>1292.6750000000002</v>
      </c>
      <c r="C19" s="80">
        <f t="shared" si="5"/>
        <v>2342.6900000000005</v>
      </c>
      <c r="D19" s="80">
        <f>D7-D6</f>
        <v>2148.085</v>
      </c>
      <c r="E19" s="80">
        <f t="shared" ref="E19:F19" si="6">E7-E6</f>
        <v>1780.68</v>
      </c>
      <c r="F19" s="80">
        <f t="shared" si="6"/>
        <v>1950.2220000000002</v>
      </c>
      <c r="G19" s="82">
        <f>AVERAGE(B19:F19)</f>
        <v>1902.8704000000002</v>
      </c>
    </row>
    <row r="20" spans="1:8">
      <c r="A20" s="6" t="s">
        <v>24</v>
      </c>
      <c r="B20" s="80">
        <f t="shared" ref="B20" si="7">B8+B9-B10</f>
        <v>1527.9119999999998</v>
      </c>
      <c r="C20" s="80">
        <f>C8+C9-C10</f>
        <v>1472.6059999999998</v>
      </c>
      <c r="D20" s="80">
        <f>D8+D9-D10</f>
        <v>1550.4559999999999</v>
      </c>
      <c r="E20" s="80">
        <f t="shared" ref="E20" si="8">E8+E9-E10</f>
        <v>1285.8490000000004</v>
      </c>
      <c r="F20" s="81">
        <f>F8+F9-F10</f>
        <v>1611.4259999999997</v>
      </c>
      <c r="G20" s="41"/>
    </row>
    <row r="24" spans="1:8">
      <c r="D24" s="74"/>
    </row>
    <row r="25" spans="1:8">
      <c r="A25" s="74"/>
      <c r="B25" s="74"/>
      <c r="D25" s="74"/>
    </row>
    <row r="26" spans="1:8">
      <c r="A26" s="74"/>
      <c r="B26" s="74"/>
      <c r="C26" s="74"/>
      <c r="D26" s="74"/>
    </row>
    <row r="27" spans="1:8" ht="13.9" customHeight="1">
      <c r="A27" s="86" t="s">
        <v>58</v>
      </c>
      <c r="B27" s="86"/>
    </row>
    <row r="28" spans="1:8">
      <c r="A28" s="6" t="s">
        <v>54</v>
      </c>
      <c r="B28" s="79">
        <v>21153</v>
      </c>
    </row>
    <row r="29" spans="1:8">
      <c r="A29" s="6" t="s">
        <v>53</v>
      </c>
      <c r="B29" s="79">
        <v>2691</v>
      </c>
    </row>
    <row r="30" spans="1:8">
      <c r="A30" s="67" t="s">
        <v>55</v>
      </c>
      <c r="B30" s="76">
        <f>B28/B29</f>
        <v>7.8606465997770343</v>
      </c>
      <c r="C30" s="75"/>
    </row>
  </sheetData>
  <mergeCells count="2">
    <mergeCell ref="G12:G13"/>
    <mergeCell ref="A27:B27"/>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Y74"/>
  <sheetViews>
    <sheetView zoomScale="92" zoomScaleNormal="92" workbookViewId="0">
      <selection activeCell="M32" sqref="M32"/>
    </sheetView>
  </sheetViews>
  <sheetFormatPr defaultColWidth="9.140625" defaultRowHeight="12.75"/>
  <cols>
    <col min="1" max="1" width="39.5703125" style="3" bestFit="1" customWidth="1"/>
    <col min="2" max="3" width="15.5703125" style="16" customWidth="1"/>
    <col min="4" max="13" width="14.28515625" style="3" customWidth="1"/>
    <col min="14" max="16384" width="9.140625" style="3"/>
  </cols>
  <sheetData>
    <row r="1" spans="1:25" ht="18.75">
      <c r="A1" s="1" t="s">
        <v>52</v>
      </c>
      <c r="B1" s="2"/>
      <c r="C1" s="2"/>
      <c r="D1" s="2"/>
      <c r="E1" s="2"/>
      <c r="F1" s="2"/>
      <c r="G1" s="2"/>
      <c r="H1" s="77"/>
      <c r="I1" s="78"/>
      <c r="J1" s="78"/>
      <c r="K1" s="78"/>
      <c r="L1" s="78"/>
      <c r="M1" s="78"/>
    </row>
    <row r="3" spans="1:25">
      <c r="B3" s="11" t="s">
        <v>17</v>
      </c>
      <c r="C3" s="26" t="s">
        <v>19</v>
      </c>
      <c r="D3" s="11">
        <v>1</v>
      </c>
      <c r="E3" s="11">
        <v>2</v>
      </c>
      <c r="F3" s="11">
        <v>3</v>
      </c>
      <c r="G3" s="11">
        <v>4</v>
      </c>
      <c r="H3" s="11">
        <v>5</v>
      </c>
      <c r="I3" s="11">
        <v>6</v>
      </c>
      <c r="J3" s="11">
        <v>7</v>
      </c>
      <c r="K3" s="11">
        <v>8</v>
      </c>
      <c r="L3" s="11">
        <v>9</v>
      </c>
      <c r="M3" s="11">
        <v>10</v>
      </c>
      <c r="O3" s="54"/>
      <c r="P3" s="54"/>
      <c r="Q3" s="54"/>
      <c r="R3" s="54"/>
      <c r="S3" s="54"/>
    </row>
    <row r="4" spans="1:25">
      <c r="A4" s="4"/>
      <c r="B4" s="11" t="s">
        <v>57</v>
      </c>
      <c r="C4" s="26">
        <v>2018</v>
      </c>
      <c r="D4" s="12">
        <v>2019</v>
      </c>
      <c r="E4" s="12">
        <f t="shared" ref="E4:H4" si="0">D4+1</f>
        <v>2020</v>
      </c>
      <c r="F4" s="12">
        <f t="shared" si="0"/>
        <v>2021</v>
      </c>
      <c r="G4" s="12">
        <f t="shared" si="0"/>
        <v>2022</v>
      </c>
      <c r="H4" s="12">
        <f t="shared" si="0"/>
        <v>2023</v>
      </c>
      <c r="I4" s="12">
        <f t="shared" ref="I4" si="1">H4+1</f>
        <v>2024</v>
      </c>
      <c r="J4" s="12">
        <f t="shared" ref="J4" si="2">I4+1</f>
        <v>2025</v>
      </c>
      <c r="K4" s="12">
        <f t="shared" ref="K4" si="3">J4+1</f>
        <v>2026</v>
      </c>
      <c r="L4" s="12">
        <f t="shared" ref="L4" si="4">K4+1</f>
        <v>2027</v>
      </c>
      <c r="M4" s="12">
        <f t="shared" ref="M4" si="5">L4+1</f>
        <v>2028</v>
      </c>
      <c r="O4" s="54"/>
      <c r="P4" s="54"/>
      <c r="Q4" s="54"/>
      <c r="R4" s="54"/>
      <c r="S4" s="54"/>
    </row>
    <row r="5" spans="1:25">
      <c r="A5" s="4"/>
      <c r="B5" s="11"/>
      <c r="C5" s="26"/>
      <c r="D5" s="13"/>
      <c r="E5" s="11"/>
      <c r="F5" s="13"/>
      <c r="G5" s="11"/>
      <c r="H5" s="13"/>
      <c r="O5" s="54"/>
      <c r="P5" s="54"/>
      <c r="Q5" s="54"/>
      <c r="R5" s="54"/>
      <c r="S5" s="54"/>
    </row>
    <row r="6" spans="1:25" ht="13.9" customHeight="1">
      <c r="A6" s="4"/>
      <c r="B6" s="11"/>
      <c r="C6" s="26"/>
      <c r="D6" s="13"/>
      <c r="E6" s="11"/>
      <c r="F6" s="13"/>
      <c r="G6" s="11"/>
      <c r="H6" s="13"/>
      <c r="I6" s="46"/>
      <c r="J6" s="46"/>
      <c r="K6" s="46"/>
      <c r="L6" s="46"/>
      <c r="M6" s="46"/>
      <c r="N6" s="46"/>
      <c r="O6" s="54"/>
      <c r="P6" s="54"/>
      <c r="Q6" s="54"/>
      <c r="R6" s="54"/>
      <c r="S6" s="54"/>
    </row>
    <row r="7" spans="1:25" ht="14.45" customHeight="1" thickBot="1">
      <c r="A7" s="7" t="s">
        <v>1</v>
      </c>
      <c r="B7" s="19"/>
      <c r="C7" s="27"/>
      <c r="D7" s="14"/>
      <c r="E7" s="14"/>
      <c r="F7" s="14"/>
      <c r="G7" s="14"/>
      <c r="H7" s="14"/>
      <c r="I7" s="59"/>
      <c r="J7" s="59"/>
      <c r="K7" s="60"/>
      <c r="L7" s="60"/>
      <c r="M7" s="60"/>
      <c r="N7" s="45"/>
      <c r="O7" s="54"/>
      <c r="P7" s="54"/>
      <c r="Q7" s="54"/>
      <c r="R7" s="54"/>
      <c r="S7" s="54"/>
    </row>
    <row r="8" spans="1:25">
      <c r="A8" s="6" t="s">
        <v>2</v>
      </c>
      <c r="B8" s="28"/>
      <c r="C8" s="29"/>
      <c r="D8" s="43">
        <v>0.124</v>
      </c>
      <c r="E8" s="43">
        <v>5.8999999999999997E-2</v>
      </c>
      <c r="F8" s="43">
        <v>5.8999999999999997E-2</v>
      </c>
      <c r="G8" s="43">
        <v>5.8999999999999997E-2</v>
      </c>
      <c r="H8" s="43">
        <v>5.8999999999999997E-2</v>
      </c>
      <c r="I8" s="49">
        <v>0</v>
      </c>
      <c r="J8" s="49">
        <v>0</v>
      </c>
      <c r="K8" s="49">
        <v>0</v>
      </c>
      <c r="L8" s="49">
        <v>0</v>
      </c>
      <c r="M8" s="49">
        <v>0</v>
      </c>
      <c r="N8" s="83"/>
      <c r="O8" s="54"/>
      <c r="P8" s="54"/>
      <c r="Q8" s="54"/>
      <c r="R8" s="54"/>
      <c r="S8" s="54"/>
      <c r="U8" s="55"/>
      <c r="V8" s="55"/>
      <c r="W8" s="55"/>
      <c r="X8" s="55"/>
      <c r="Y8" s="55"/>
    </row>
    <row r="9" spans="1:25">
      <c r="A9" s="6" t="s">
        <v>0</v>
      </c>
      <c r="B9" s="58">
        <f>'INITIAL DATA'!G18</f>
        <v>8.0048525874861914E-2</v>
      </c>
      <c r="C9" s="30"/>
      <c r="D9" s="43">
        <f>B9</f>
        <v>8.0048525874861914E-2</v>
      </c>
      <c r="E9" s="43">
        <f>D9</f>
        <v>8.0048525874861914E-2</v>
      </c>
      <c r="F9" s="43">
        <f t="shared" ref="F9:H9" si="6">E9</f>
        <v>8.0048525874861914E-2</v>
      </c>
      <c r="G9" s="43">
        <f t="shared" si="6"/>
        <v>8.0048525874861914E-2</v>
      </c>
      <c r="H9" s="43">
        <f t="shared" si="6"/>
        <v>8.0048525874861914E-2</v>
      </c>
      <c r="I9" s="43">
        <f t="shared" ref="I9" si="7">H9</f>
        <v>8.0048525874861914E-2</v>
      </c>
      <c r="J9" s="43">
        <f t="shared" ref="J9" si="8">I9</f>
        <v>8.0048525874861914E-2</v>
      </c>
      <c r="K9" s="43">
        <f t="shared" ref="K9" si="9">J9</f>
        <v>8.0048525874861914E-2</v>
      </c>
      <c r="L9" s="43">
        <f t="shared" ref="L9" si="10">K9</f>
        <v>8.0048525874861914E-2</v>
      </c>
      <c r="M9" s="43">
        <f t="shared" ref="M9" si="11">L9</f>
        <v>8.0048525874861914E-2</v>
      </c>
      <c r="N9" s="45"/>
      <c r="O9" s="54"/>
      <c r="P9" s="54"/>
      <c r="Q9" s="54"/>
      <c r="R9" s="54"/>
      <c r="S9" s="54"/>
      <c r="U9" s="55"/>
      <c r="V9" s="55"/>
      <c r="W9" s="55"/>
      <c r="X9" s="55"/>
      <c r="Y9" s="55"/>
    </row>
    <row r="10" spans="1:25">
      <c r="A10" s="6" t="s">
        <v>3</v>
      </c>
      <c r="B10" s="28"/>
      <c r="C10" s="29"/>
      <c r="D10" s="43">
        <v>0</v>
      </c>
      <c r="E10" s="43">
        <v>0</v>
      </c>
      <c r="F10" s="43">
        <v>0</v>
      </c>
      <c r="G10" s="43">
        <v>0</v>
      </c>
      <c r="H10" s="43">
        <v>0</v>
      </c>
      <c r="I10" s="49">
        <v>-0.2</v>
      </c>
      <c r="J10" s="49">
        <v>-0.2</v>
      </c>
      <c r="K10" s="49">
        <v>-0.2</v>
      </c>
      <c r="L10" s="49">
        <v>-0.2</v>
      </c>
      <c r="M10" s="49">
        <v>-0.2</v>
      </c>
      <c r="N10" s="84"/>
      <c r="O10" s="54"/>
      <c r="P10" s="54"/>
      <c r="Q10" s="54"/>
      <c r="R10" s="54"/>
      <c r="S10" s="54"/>
      <c r="U10" s="55"/>
      <c r="V10" s="55"/>
      <c r="W10" s="55"/>
      <c r="X10" s="55"/>
      <c r="Y10" s="55"/>
    </row>
    <row r="11" spans="1:25">
      <c r="A11" s="6"/>
      <c r="B11" s="28"/>
      <c r="C11" s="29"/>
      <c r="D11" s="15"/>
      <c r="E11" s="15"/>
      <c r="F11" s="15"/>
      <c r="G11" s="15"/>
      <c r="H11" s="15"/>
      <c r="I11" s="46"/>
      <c r="J11" s="46"/>
      <c r="K11" s="46"/>
      <c r="L11" s="46"/>
      <c r="M11" s="46"/>
      <c r="N11" s="46"/>
      <c r="O11" s="46"/>
    </row>
    <row r="12" spans="1:25">
      <c r="A12" s="6" t="s">
        <v>4</v>
      </c>
      <c r="B12" s="62">
        <v>0.22689999999999999</v>
      </c>
      <c r="C12" s="31"/>
      <c r="D12" s="42">
        <f>B12</f>
        <v>0.22689999999999999</v>
      </c>
      <c r="E12" s="42">
        <f>D12</f>
        <v>0.22689999999999999</v>
      </c>
      <c r="F12" s="42">
        <f t="shared" ref="F12:H12" si="12">E12</f>
        <v>0.22689999999999999</v>
      </c>
      <c r="G12" s="42">
        <f t="shared" si="12"/>
        <v>0.22689999999999999</v>
      </c>
      <c r="H12" s="42">
        <f t="shared" si="12"/>
        <v>0.22689999999999999</v>
      </c>
      <c r="I12" s="42">
        <f t="shared" ref="I12" si="13">H12</f>
        <v>0.22689999999999999</v>
      </c>
      <c r="J12" s="42">
        <f t="shared" ref="J12" si="14">I12</f>
        <v>0.22689999999999999</v>
      </c>
      <c r="K12" s="42">
        <f t="shared" ref="K12" si="15">J12</f>
        <v>0.22689999999999999</v>
      </c>
      <c r="L12" s="42">
        <f t="shared" ref="L12" si="16">K12</f>
        <v>0.22689999999999999</v>
      </c>
      <c r="M12" s="42">
        <f t="shared" ref="M12" si="17">L12</f>
        <v>0.22689999999999999</v>
      </c>
      <c r="N12" s="52"/>
    </row>
    <row r="13" spans="1:25">
      <c r="C13" s="32"/>
      <c r="D13" s="16"/>
      <c r="E13" s="16"/>
      <c r="F13" s="16"/>
      <c r="G13" s="16"/>
      <c r="H13" s="16"/>
    </row>
    <row r="14" spans="1:25" ht="13.9" customHeight="1">
      <c r="A14" s="6"/>
      <c r="B14" s="28"/>
      <c r="C14" s="29"/>
      <c r="D14" s="17"/>
      <c r="E14" s="18"/>
      <c r="F14" s="18"/>
      <c r="G14" s="18"/>
      <c r="H14" s="18"/>
      <c r="O14" s="53"/>
      <c r="P14" s="53"/>
    </row>
    <row r="15" spans="1:25" s="6" customFormat="1">
      <c r="A15" s="6" t="s">
        <v>18</v>
      </c>
      <c r="B15" s="28"/>
      <c r="C15" s="63">
        <v>5.0799999999999998E-2</v>
      </c>
      <c r="D15" s="61">
        <v>5.0799999999999998E-2</v>
      </c>
      <c r="E15" s="61">
        <v>5.0799999999999998E-2</v>
      </c>
      <c r="F15" s="61">
        <v>5.0799999999999998E-2</v>
      </c>
      <c r="G15" s="61">
        <v>5.0799999999999998E-2</v>
      </c>
      <c r="H15" s="61">
        <v>5.0799999999999998E-2</v>
      </c>
      <c r="I15" s="61">
        <v>5.0799999999999998E-2</v>
      </c>
      <c r="J15" s="61">
        <v>5.0799999999999998E-2</v>
      </c>
      <c r="K15" s="61">
        <v>5.0799999999999998E-2</v>
      </c>
      <c r="L15" s="61">
        <v>5.0799999999999998E-2</v>
      </c>
      <c r="M15" s="61">
        <v>5.0799999999999998E-2</v>
      </c>
      <c r="N15" s="56"/>
      <c r="O15" s="56"/>
      <c r="P15" s="56"/>
      <c r="Q15" s="56"/>
      <c r="R15" s="56"/>
    </row>
    <row r="16" spans="1:25">
      <c r="C16" s="32"/>
      <c r="D16" s="16"/>
      <c r="E16" s="16"/>
      <c r="F16" s="16"/>
      <c r="G16" s="16"/>
      <c r="H16" s="16"/>
      <c r="N16" s="56"/>
      <c r="O16" s="56"/>
      <c r="P16" s="56"/>
      <c r="Q16" s="56"/>
      <c r="R16" s="56"/>
    </row>
    <row r="17" spans="1:20">
      <c r="C17" s="32"/>
      <c r="D17" s="16"/>
      <c r="E17" s="16"/>
      <c r="F17" s="16"/>
      <c r="G17" s="16"/>
      <c r="H17" s="16"/>
    </row>
    <row r="18" spans="1:20">
      <c r="A18" s="7" t="s">
        <v>46</v>
      </c>
      <c r="B18" s="19"/>
      <c r="C18" s="27"/>
      <c r="D18" s="19"/>
      <c r="E18" s="19"/>
      <c r="F18" s="19"/>
      <c r="G18" s="19"/>
      <c r="H18" s="19"/>
    </row>
    <row r="19" spans="1:20">
      <c r="A19" s="5" t="s">
        <v>20</v>
      </c>
      <c r="B19" s="28"/>
      <c r="C19" s="64">
        <f>'INITIAL DATA'!F4</f>
        <v>18121.748</v>
      </c>
      <c r="D19" s="16"/>
      <c r="E19" s="16"/>
      <c r="F19" s="16"/>
      <c r="G19" s="16"/>
      <c r="H19" s="16"/>
    </row>
    <row r="20" spans="1:20">
      <c r="A20" s="5" t="s">
        <v>38</v>
      </c>
      <c r="B20" s="19"/>
      <c r="C20" s="33"/>
      <c r="D20" s="36">
        <f>C19*(1+D8)</f>
        <v>20368.844752000001</v>
      </c>
      <c r="E20" s="36">
        <f>D20*(1+E8)</f>
        <v>21570.606592368</v>
      </c>
      <c r="F20" s="36">
        <f t="shared" ref="F20:H20" si="18">E20*(1+F8)</f>
        <v>22843.272381317711</v>
      </c>
      <c r="G20" s="36">
        <f t="shared" si="18"/>
        <v>24191.025451815454</v>
      </c>
      <c r="H20" s="36">
        <f t="shared" si="18"/>
        <v>25618.295953472563</v>
      </c>
      <c r="I20" s="36">
        <f>H20*(1+I8)</f>
        <v>25618.295953472563</v>
      </c>
      <c r="J20" s="36">
        <f t="shared" ref="J20" si="19">I20*(1+J8)</f>
        <v>25618.295953472563</v>
      </c>
      <c r="K20" s="36">
        <f t="shared" ref="K20" si="20">J20*(1+K8)</f>
        <v>25618.295953472563</v>
      </c>
      <c r="L20" s="36">
        <f t="shared" ref="L20" si="21">K20*(1+L8)</f>
        <v>25618.295953472563</v>
      </c>
      <c r="M20" s="36">
        <f>L20*(1+M8)</f>
        <v>25618.295953472563</v>
      </c>
      <c r="N20" s="87" t="s">
        <v>59</v>
      </c>
      <c r="O20" s="88"/>
      <c r="P20" s="88"/>
      <c r="Q20" s="88"/>
      <c r="R20" s="88"/>
      <c r="S20" s="88"/>
      <c r="T20" s="89"/>
    </row>
    <row r="21" spans="1:20">
      <c r="A21" s="5" t="s">
        <v>21</v>
      </c>
      <c r="B21" s="19"/>
      <c r="C21" s="33"/>
      <c r="D21" s="36">
        <f>D9*D20</f>
        <v>1630.4959961715174</v>
      </c>
      <c r="E21" s="36">
        <f t="shared" ref="E21:L21" si="22">E9*E20</f>
        <v>1726.6952599456367</v>
      </c>
      <c r="F21" s="36">
        <f t="shared" si="22"/>
        <v>1828.5702802824294</v>
      </c>
      <c r="G21" s="36">
        <f t="shared" si="22"/>
        <v>1936.4559268190926</v>
      </c>
      <c r="H21" s="36">
        <f t="shared" si="22"/>
        <v>2050.7068265014186</v>
      </c>
      <c r="I21" s="36">
        <f t="shared" si="22"/>
        <v>2050.7068265014186</v>
      </c>
      <c r="J21" s="36">
        <f t="shared" si="22"/>
        <v>2050.7068265014186</v>
      </c>
      <c r="K21" s="36">
        <f t="shared" si="22"/>
        <v>2050.7068265014186</v>
      </c>
      <c r="L21" s="36">
        <f t="shared" si="22"/>
        <v>2050.7068265014186</v>
      </c>
      <c r="M21" s="36">
        <f>M9*M20</f>
        <v>2050.7068265014186</v>
      </c>
      <c r="N21" s="90"/>
      <c r="O21" s="91"/>
      <c r="P21" s="91"/>
      <c r="Q21" s="91"/>
      <c r="R21" s="91"/>
      <c r="S21" s="91"/>
      <c r="T21" s="92"/>
    </row>
    <row r="22" spans="1:20">
      <c r="A22" s="5" t="s">
        <v>5</v>
      </c>
      <c r="B22" s="19"/>
      <c r="C22" s="33"/>
      <c r="D22" s="36">
        <f>D21*(1-D12)</f>
        <v>1260.5364546402002</v>
      </c>
      <c r="E22" s="36">
        <f t="shared" ref="E22:L22" si="23">E21*(1-E12)</f>
        <v>1334.9081054639719</v>
      </c>
      <c r="F22" s="36">
        <f t="shared" si="23"/>
        <v>1413.6676836863462</v>
      </c>
      <c r="G22" s="36">
        <f t="shared" si="23"/>
        <v>1497.0740770238406</v>
      </c>
      <c r="H22" s="36">
        <f t="shared" si="23"/>
        <v>1585.4014475682468</v>
      </c>
      <c r="I22" s="36">
        <f t="shared" si="23"/>
        <v>1585.4014475682468</v>
      </c>
      <c r="J22" s="36">
        <f t="shared" si="23"/>
        <v>1585.4014475682468</v>
      </c>
      <c r="K22" s="36">
        <f t="shared" si="23"/>
        <v>1585.4014475682468</v>
      </c>
      <c r="L22" s="36">
        <f t="shared" si="23"/>
        <v>1585.4014475682468</v>
      </c>
      <c r="M22" s="36">
        <f>M21*(1-M12)</f>
        <v>1585.4014475682468</v>
      </c>
      <c r="N22" s="90"/>
      <c r="O22" s="91"/>
      <c r="P22" s="91"/>
      <c r="Q22" s="91"/>
      <c r="R22" s="91"/>
      <c r="S22" s="91"/>
      <c r="T22" s="92"/>
    </row>
    <row r="23" spans="1:20">
      <c r="A23" s="5" t="s">
        <v>24</v>
      </c>
      <c r="B23" s="19"/>
      <c r="C23" s="64">
        <f>'INITIAL DATA'!F20</f>
        <v>1611.4259999999997</v>
      </c>
      <c r="D23" s="36">
        <f>C23*(1+D8)</f>
        <v>1811.2428239999999</v>
      </c>
      <c r="E23" s="36">
        <f t="shared" ref="E23:H23" si="24">D23*(1+E8)</f>
        <v>1918.1061506159999</v>
      </c>
      <c r="F23" s="36">
        <f t="shared" si="24"/>
        <v>2031.2744135023438</v>
      </c>
      <c r="G23" s="36">
        <f t="shared" si="24"/>
        <v>2151.1196038989819</v>
      </c>
      <c r="H23" s="36">
        <f t="shared" si="24"/>
        <v>2278.0356605290217</v>
      </c>
      <c r="I23" s="36">
        <f t="shared" ref="I23" si="25">H23*(1+I8)</f>
        <v>2278.0356605290217</v>
      </c>
      <c r="J23" s="36">
        <f t="shared" ref="J23" si="26">I23*(1+J8)</f>
        <v>2278.0356605290217</v>
      </c>
      <c r="K23" s="36">
        <f t="shared" ref="K23" si="27">J23*(1+K8)</f>
        <v>2278.0356605290217</v>
      </c>
      <c r="L23" s="36">
        <f t="shared" ref="L23" si="28">K23*(1+L8)</f>
        <v>2278.0356605290217</v>
      </c>
      <c r="M23" s="36">
        <f t="shared" ref="M23" si="29">L23*(1+M8)</f>
        <v>2278.0356605290217</v>
      </c>
      <c r="N23" s="90"/>
      <c r="O23" s="91"/>
      <c r="P23" s="91"/>
      <c r="Q23" s="91"/>
      <c r="R23" s="91"/>
      <c r="S23" s="91"/>
      <c r="T23" s="92"/>
    </row>
    <row r="24" spans="1:20">
      <c r="A24" s="5" t="s">
        <v>23</v>
      </c>
      <c r="B24" s="19"/>
      <c r="C24" s="33"/>
      <c r="D24" s="36">
        <f>D23-C23</f>
        <v>199.81682400000022</v>
      </c>
      <c r="E24" s="36">
        <f t="shared" ref="E24:H24" si="30">E23-D23</f>
        <v>106.86332661599999</v>
      </c>
      <c r="F24" s="36">
        <f t="shared" si="30"/>
        <v>113.16826288634388</v>
      </c>
      <c r="G24" s="36">
        <f t="shared" si="30"/>
        <v>119.84519039663815</v>
      </c>
      <c r="H24" s="36">
        <f t="shared" si="30"/>
        <v>126.91605663003975</v>
      </c>
      <c r="I24" s="36">
        <f t="shared" ref="I24" si="31">I23-H23</f>
        <v>0</v>
      </c>
      <c r="J24" s="36">
        <f t="shared" ref="J24" si="32">J23-I23</f>
        <v>0</v>
      </c>
      <c r="K24" s="36">
        <f t="shared" ref="K24" si="33">K23-J23</f>
        <v>0</v>
      </c>
      <c r="L24" s="36">
        <f t="shared" ref="L24" si="34">L23-K23</f>
        <v>0</v>
      </c>
      <c r="M24" s="36">
        <f t="shared" ref="M24" si="35">M23-L23</f>
        <v>0</v>
      </c>
      <c r="N24" s="93"/>
      <c r="O24" s="94"/>
      <c r="P24" s="94"/>
      <c r="Q24" s="94"/>
      <c r="R24" s="94"/>
      <c r="S24" s="94"/>
      <c r="T24" s="95"/>
    </row>
    <row r="25" spans="1:20">
      <c r="A25" s="5" t="s">
        <v>6</v>
      </c>
      <c r="B25" s="34"/>
      <c r="C25" s="35"/>
      <c r="D25" s="20"/>
      <c r="E25" s="20"/>
      <c r="F25" s="20"/>
      <c r="G25" s="20"/>
      <c r="H25" s="20"/>
      <c r="N25" s="57"/>
      <c r="O25" s="57"/>
      <c r="P25" s="57"/>
      <c r="Q25" s="57"/>
      <c r="R25" s="57"/>
      <c r="S25" s="57"/>
      <c r="T25" s="57"/>
    </row>
    <row r="26" spans="1:20">
      <c r="A26" s="5" t="s">
        <v>7</v>
      </c>
      <c r="B26" s="34"/>
      <c r="C26" s="35"/>
      <c r="D26" s="20"/>
      <c r="E26" s="20"/>
      <c r="F26" s="20"/>
      <c r="G26" s="20"/>
      <c r="H26" s="20"/>
    </row>
    <row r="27" spans="1:20">
      <c r="A27" s="5" t="s">
        <v>8</v>
      </c>
      <c r="B27" s="65">
        <f>'INITIAL DATA'!G19</f>
        <v>1902.8704000000002</v>
      </c>
      <c r="C27" s="35"/>
      <c r="D27" s="9">
        <f>B27*(1+D10)</f>
        <v>1902.8704000000002</v>
      </c>
      <c r="E27" s="9">
        <f>D27*(1+E10)</f>
        <v>1902.8704000000002</v>
      </c>
      <c r="F27" s="9">
        <f t="shared" ref="F27:H27" si="36">E27*(1+F10)</f>
        <v>1902.8704000000002</v>
      </c>
      <c r="G27" s="9">
        <f t="shared" si="36"/>
        <v>1902.8704000000002</v>
      </c>
      <c r="H27" s="9">
        <f t="shared" si="36"/>
        <v>1902.8704000000002</v>
      </c>
      <c r="I27" s="9">
        <f t="shared" ref="I27" si="37">H27*(1+I10)</f>
        <v>1522.2963200000004</v>
      </c>
      <c r="J27" s="9">
        <f t="shared" ref="J27" si="38">I27*(1+J10)</f>
        <v>1217.8370560000003</v>
      </c>
      <c r="K27" s="9">
        <f t="shared" ref="K27" si="39">J27*(1+K10)</f>
        <v>974.26964480000026</v>
      </c>
      <c r="L27" s="9">
        <f t="shared" ref="L27" si="40">K27*(1+L10)</f>
        <v>779.4157158400003</v>
      </c>
      <c r="M27" s="9">
        <f t="shared" ref="M27" si="41">L27*(1+M10)</f>
        <v>623.53257267200024</v>
      </c>
    </row>
    <row r="28" spans="1:20">
      <c r="A28" s="5"/>
      <c r="B28" s="21"/>
      <c r="C28" s="35"/>
      <c r="D28" s="21"/>
      <c r="E28" s="21"/>
      <c r="F28" s="21"/>
      <c r="G28" s="21"/>
      <c r="H28" s="21"/>
    </row>
    <row r="29" spans="1:20" ht="13.9" customHeight="1">
      <c r="A29" s="5" t="s">
        <v>13</v>
      </c>
      <c r="B29" s="19"/>
      <c r="C29" s="27"/>
      <c r="D29" s="9">
        <f>D22-D24-D27</f>
        <v>-842.15076935980028</v>
      </c>
      <c r="E29" s="9">
        <f t="shared" ref="E29:L29" si="42">E22-E24-E27</f>
        <v>-674.82562115202836</v>
      </c>
      <c r="F29" s="9">
        <f t="shared" si="42"/>
        <v>-602.37097919999792</v>
      </c>
      <c r="G29" s="9">
        <f t="shared" si="42"/>
        <v>-525.64151337279782</v>
      </c>
      <c r="H29" s="9">
        <f t="shared" si="42"/>
        <v>-444.3850090617932</v>
      </c>
      <c r="I29" s="9">
        <f t="shared" si="42"/>
        <v>63.105127568246417</v>
      </c>
      <c r="J29" s="9">
        <f t="shared" si="42"/>
        <v>367.56439156824649</v>
      </c>
      <c r="K29" s="9">
        <f t="shared" si="42"/>
        <v>611.13180276824653</v>
      </c>
      <c r="L29" s="9">
        <f t="shared" si="42"/>
        <v>805.98573172824649</v>
      </c>
      <c r="M29" s="9">
        <f>M22-M24-M27</f>
        <v>961.86887489624655</v>
      </c>
      <c r="N29" s="53"/>
      <c r="O29" s="53"/>
      <c r="P29" s="53"/>
      <c r="Q29" s="53"/>
      <c r="R29" s="53"/>
    </row>
    <row r="30" spans="1:20">
      <c r="A30" s="5"/>
      <c r="B30" s="19"/>
      <c r="C30" s="27"/>
      <c r="D30" s="22"/>
      <c r="E30" s="22"/>
      <c r="F30" s="22"/>
      <c r="G30" s="22"/>
      <c r="H30" s="22"/>
      <c r="N30" s="53"/>
      <c r="O30" s="53"/>
      <c r="P30" s="53"/>
      <c r="Q30" s="53"/>
      <c r="R30" s="53"/>
    </row>
    <row r="31" spans="1:20">
      <c r="A31" s="6" t="s">
        <v>11</v>
      </c>
      <c r="B31" s="28"/>
      <c r="C31" s="10">
        <v>1</v>
      </c>
      <c r="D31" s="37">
        <f>C31/(1+D15)</f>
        <v>0.9516558812333461</v>
      </c>
      <c r="E31" s="37">
        <f t="shared" ref="E31:H31" si="43">D31/(1+E15)</f>
        <v>0.90564891628601651</v>
      </c>
      <c r="F31" s="37">
        <f>E31/(1+F15)</f>
        <v>0.86186611751619391</v>
      </c>
      <c r="G31" s="37">
        <f t="shared" si="43"/>
        <v>0.82019995957003611</v>
      </c>
      <c r="H31" s="37">
        <f t="shared" si="43"/>
        <v>0.78054811531217749</v>
      </c>
      <c r="I31" s="37">
        <f t="shared" ref="I31" si="44">H31/(1+I15)</f>
        <v>0.74281320452243771</v>
      </c>
      <c r="J31" s="37">
        <f t="shared" ref="J31" si="45">I31/(1+J15)</f>
        <v>0.70690255474156616</v>
      </c>
      <c r="K31" s="37">
        <f t="shared" ref="K31" si="46">J31/(1+K15)</f>
        <v>0.67272797367868875</v>
      </c>
      <c r="L31" s="37">
        <f t="shared" ref="L31" si="47">K31/(1+L15)</f>
        <v>0.6402055326215158</v>
      </c>
      <c r="M31" s="37">
        <f t="shared" ref="M31" si="48">L31/(1+M15)</f>
        <v>0.60925536031739225</v>
      </c>
    </row>
    <row r="32" spans="1:20" ht="13.9" customHeight="1">
      <c r="A32" s="8" t="s">
        <v>22</v>
      </c>
      <c r="B32" s="19"/>
      <c r="C32" s="27"/>
      <c r="D32" s="9">
        <f>D31*D29</f>
        <v>-801.43773254644111</v>
      </c>
      <c r="E32" s="9">
        <f t="shared" ref="E32:M32" si="49">E31*E29</f>
        <v>-611.15509247837247</v>
      </c>
      <c r="F32" s="9">
        <f>F31*F29</f>
        <v>-519.16313714753016</v>
      </c>
      <c r="G32" s="9">
        <f t="shared" si="49"/>
        <v>-431.13114801670139</v>
      </c>
      <c r="H32" s="9">
        <f t="shared" si="49"/>
        <v>-346.86388129616762</v>
      </c>
      <c r="I32" s="9">
        <f t="shared" si="49"/>
        <v>46.875322030766348</v>
      </c>
      <c r="J32" s="9">
        <f t="shared" si="49"/>
        <v>259.83220743162281</v>
      </c>
      <c r="K32" s="9">
        <f t="shared" si="49"/>
        <v>411.12545932688658</v>
      </c>
      <c r="L32" s="9">
        <f t="shared" si="49"/>
        <v>515.99652466642419</v>
      </c>
      <c r="M32" s="9">
        <f t="shared" si="49"/>
        <v>586.02376795299733</v>
      </c>
      <c r="N32" s="53"/>
      <c r="O32" s="53"/>
      <c r="P32" s="53"/>
      <c r="Q32" s="53"/>
      <c r="R32" s="53"/>
    </row>
    <row r="33" spans="1:18">
      <c r="A33" s="8" t="s">
        <v>50</v>
      </c>
      <c r="B33" s="19"/>
      <c r="C33" s="27"/>
      <c r="D33" s="9">
        <f>SUM(D32:M32)</f>
        <v>-889.8977100765153</v>
      </c>
      <c r="E33" s="19"/>
      <c r="F33" s="19"/>
      <c r="G33" s="19"/>
      <c r="H33" s="19"/>
      <c r="N33" s="53"/>
      <c r="O33" s="53"/>
      <c r="P33" s="53"/>
      <c r="Q33" s="53"/>
      <c r="R33" s="53"/>
    </row>
    <row r="34" spans="1:18">
      <c r="C34" s="70"/>
      <c r="D34" s="71"/>
      <c r="E34" s="71"/>
      <c r="F34" s="71"/>
      <c r="G34" s="23"/>
      <c r="H34" s="19"/>
    </row>
    <row r="35" spans="1:18">
      <c r="A35" s="7" t="s">
        <v>16</v>
      </c>
      <c r="B35" s="19"/>
      <c r="C35" s="70"/>
      <c r="D35" s="71"/>
      <c r="E35" s="71"/>
      <c r="F35" s="71"/>
      <c r="G35" s="23"/>
    </row>
    <row r="36" spans="1:18">
      <c r="A36" s="5" t="s">
        <v>14</v>
      </c>
      <c r="C36" s="70"/>
      <c r="D36" s="71"/>
      <c r="E36" s="71"/>
      <c r="F36" s="71"/>
      <c r="G36" s="11"/>
      <c r="H36" s="50">
        <v>0</v>
      </c>
      <c r="I36" s="28"/>
    </row>
    <row r="37" spans="1:18">
      <c r="A37" s="5" t="s">
        <v>44</v>
      </c>
      <c r="B37" s="19"/>
      <c r="C37" s="70"/>
      <c r="D37" s="71"/>
      <c r="E37" s="71"/>
      <c r="F37" s="71"/>
      <c r="G37" s="16"/>
      <c r="H37" s="9">
        <f>M29*(1+H36)</f>
        <v>961.86887489624655</v>
      </c>
    </row>
    <row r="38" spans="1:18">
      <c r="A38" s="5" t="s">
        <v>45</v>
      </c>
      <c r="B38" s="19"/>
      <c r="C38" s="27"/>
      <c r="E38" s="16"/>
      <c r="F38" s="16"/>
      <c r="G38" s="16"/>
      <c r="H38" s="9">
        <f>H37/(M15-H36)</f>
        <v>18934.426671185956</v>
      </c>
    </row>
    <row r="39" spans="1:18">
      <c r="A39" s="8" t="s">
        <v>12</v>
      </c>
      <c r="B39" s="19"/>
      <c r="C39" s="27"/>
      <c r="D39" s="9">
        <f>H38*M31</f>
        <v>11535.900943956642</v>
      </c>
      <c r="E39" s="16"/>
      <c r="F39" s="16"/>
      <c r="G39" s="16"/>
      <c r="H39" s="16"/>
    </row>
    <row r="40" spans="1:18">
      <c r="A40" s="5"/>
      <c r="B40" s="19"/>
      <c r="C40" s="27"/>
      <c r="D40" s="19"/>
      <c r="E40" s="16"/>
      <c r="F40" s="16"/>
      <c r="G40" s="16"/>
      <c r="H40" s="16"/>
    </row>
    <row r="41" spans="1:18">
      <c r="A41" s="7" t="s">
        <v>10</v>
      </c>
      <c r="B41" s="19"/>
      <c r="C41" s="27"/>
      <c r="D41" s="19"/>
      <c r="E41" s="16"/>
      <c r="F41" s="16"/>
      <c r="G41" s="16"/>
      <c r="H41" s="16"/>
      <c r="I41" s="74"/>
      <c r="J41" s="74"/>
      <c r="K41" s="74"/>
      <c r="L41" s="74"/>
    </row>
    <row r="42" spans="1:18">
      <c r="A42" s="5" t="s">
        <v>47</v>
      </c>
      <c r="B42" s="19"/>
      <c r="C42" s="27"/>
      <c r="D42" s="38">
        <f>D33</f>
        <v>-889.8977100765153</v>
      </c>
      <c r="E42" s="16"/>
      <c r="F42" s="16"/>
      <c r="G42" s="16"/>
      <c r="H42" s="16"/>
    </row>
    <row r="43" spans="1:18">
      <c r="A43" s="5" t="s">
        <v>15</v>
      </c>
      <c r="B43" s="19"/>
      <c r="C43" s="27"/>
      <c r="D43" s="38">
        <f>D39</f>
        <v>11535.900943956642</v>
      </c>
      <c r="E43" s="16"/>
      <c r="F43" s="16"/>
      <c r="G43" s="16"/>
      <c r="H43" s="16"/>
    </row>
    <row r="44" spans="1:18">
      <c r="A44" s="5" t="s">
        <v>39</v>
      </c>
      <c r="B44" s="19"/>
      <c r="C44" s="64">
        <f>'INITIAL DATA'!F11</f>
        <v>823.72400000000005</v>
      </c>
      <c r="D44" s="38">
        <f>C44</f>
        <v>823.72400000000005</v>
      </c>
      <c r="E44" s="16"/>
      <c r="F44" s="16"/>
      <c r="G44" s="16"/>
      <c r="H44" s="16"/>
    </row>
    <row r="45" spans="1:18">
      <c r="A45" s="5" t="s">
        <v>43</v>
      </c>
      <c r="B45" s="19"/>
      <c r="C45" s="27"/>
      <c r="D45" s="9">
        <f>SUM(D42:D44)</f>
        <v>11469.727233880127</v>
      </c>
      <c r="E45" s="16"/>
      <c r="F45" s="16"/>
      <c r="G45" s="16"/>
      <c r="H45" s="16"/>
    </row>
    <row r="46" spans="1:18">
      <c r="C46" s="32"/>
      <c r="D46" s="16"/>
      <c r="E46" s="16"/>
      <c r="F46" s="16"/>
      <c r="G46" s="16"/>
      <c r="H46" s="16"/>
    </row>
    <row r="47" spans="1:18">
      <c r="A47" s="5" t="s">
        <v>42</v>
      </c>
      <c r="B47" s="19"/>
      <c r="C47" s="66">
        <f>'INITIAL DATA'!G12</f>
        <v>9421.7180000000008</v>
      </c>
      <c r="D47" s="39">
        <f>C47</f>
        <v>9421.7180000000008</v>
      </c>
      <c r="E47" s="16"/>
      <c r="F47" s="16"/>
      <c r="G47" s="16"/>
      <c r="H47" s="16"/>
    </row>
    <row r="48" spans="1:18">
      <c r="A48" s="5" t="s">
        <v>9</v>
      </c>
      <c r="B48" s="19"/>
      <c r="C48" s="27"/>
      <c r="D48" s="9">
        <f>D45-D47</f>
        <v>2048.009233880126</v>
      </c>
      <c r="E48" s="16"/>
      <c r="F48" s="16"/>
      <c r="G48" s="16"/>
      <c r="H48" s="16"/>
    </row>
    <row r="49" spans="1:12">
      <c r="A49" s="5" t="s">
        <v>25</v>
      </c>
      <c r="B49" s="19"/>
      <c r="C49" s="27"/>
      <c r="D49" s="51">
        <v>1752.549</v>
      </c>
      <c r="E49" s="44"/>
      <c r="F49" s="16"/>
      <c r="G49" s="16"/>
      <c r="H49" s="16"/>
    </row>
    <row r="50" spans="1:12">
      <c r="A50" s="8" t="s">
        <v>51</v>
      </c>
      <c r="B50" s="19"/>
      <c r="C50" s="27"/>
      <c r="D50" s="9">
        <f>D48/D49</f>
        <v>1.1685888576468482</v>
      </c>
      <c r="E50" s="16"/>
      <c r="F50" s="16"/>
      <c r="G50" s="16"/>
      <c r="H50" s="16"/>
    </row>
    <row r="55" spans="1:12">
      <c r="J55" s="96" t="s">
        <v>60</v>
      </c>
      <c r="K55" s="97"/>
      <c r="L55" s="98"/>
    </row>
    <row r="56" spans="1:12">
      <c r="J56" s="99"/>
      <c r="K56" s="100"/>
      <c r="L56" s="101"/>
    </row>
    <row r="57" spans="1:12">
      <c r="J57" s="99"/>
      <c r="K57" s="100"/>
      <c r="L57" s="101"/>
    </row>
    <row r="58" spans="1:12">
      <c r="J58" s="99"/>
      <c r="K58" s="100"/>
      <c r="L58" s="101"/>
    </row>
    <row r="59" spans="1:12">
      <c r="J59" s="99"/>
      <c r="K59" s="100"/>
      <c r="L59" s="101"/>
    </row>
    <row r="60" spans="1:12">
      <c r="J60" s="99"/>
      <c r="K60" s="100"/>
      <c r="L60" s="101"/>
    </row>
    <row r="61" spans="1:12">
      <c r="J61" s="99"/>
      <c r="K61" s="100"/>
      <c r="L61" s="101"/>
    </row>
    <row r="62" spans="1:12">
      <c r="J62" s="102"/>
      <c r="K62" s="103"/>
      <c r="L62" s="104"/>
    </row>
    <row r="64" spans="1:12" ht="13.9" customHeight="1">
      <c r="J64" s="105" t="s">
        <v>61</v>
      </c>
      <c r="K64" s="106"/>
      <c r="L64" s="107"/>
    </row>
    <row r="65" spans="10:12">
      <c r="J65" s="108"/>
      <c r="K65" s="109"/>
      <c r="L65" s="110"/>
    </row>
    <row r="66" spans="10:12">
      <c r="J66" s="108"/>
      <c r="K66" s="109"/>
      <c r="L66" s="110"/>
    </row>
    <row r="67" spans="10:12">
      <c r="J67" s="108"/>
      <c r="K67" s="109"/>
      <c r="L67" s="110"/>
    </row>
    <row r="68" spans="10:12">
      <c r="J68" s="108"/>
      <c r="K68" s="109"/>
      <c r="L68" s="110"/>
    </row>
    <row r="69" spans="10:12">
      <c r="J69" s="111"/>
      <c r="K69" s="112"/>
      <c r="L69" s="113"/>
    </row>
    <row r="70" spans="10:12">
      <c r="J70" s="55"/>
      <c r="K70" s="55"/>
      <c r="L70" s="55"/>
    </row>
    <row r="71" spans="10:12">
      <c r="J71" s="55"/>
      <c r="K71" s="55"/>
      <c r="L71" s="55"/>
    </row>
    <row r="72" spans="10:12">
      <c r="J72" s="55"/>
      <c r="K72" s="55"/>
      <c r="L72" s="55"/>
    </row>
    <row r="73" spans="10:12">
      <c r="J73" s="55"/>
      <c r="K73" s="55"/>
      <c r="L73" s="55"/>
    </row>
    <row r="74" spans="10:12">
      <c r="J74" s="55"/>
      <c r="K74" s="55"/>
      <c r="L74" s="55"/>
    </row>
  </sheetData>
  <mergeCells count="3">
    <mergeCell ref="N20:T24"/>
    <mergeCell ref="J55:L62"/>
    <mergeCell ref="J64:L69"/>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INITIAL DATA</vt:lpstr>
      <vt:lpstr>VALUATION</vt:lpstr>
    </vt:vector>
  </TitlesOfParts>
  <Company>Notoria Serwis Sp. z o.o.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Notoria Serwis</dc:creator>
  <cp:lastModifiedBy>VIJAYANT MEHLA</cp:lastModifiedBy>
  <cp:lastPrinted>2002-05-02T16:01:42Z</cp:lastPrinted>
  <dcterms:created xsi:type="dcterms:W3CDTF">2002-04-17T16:14:46Z</dcterms:created>
  <dcterms:modified xsi:type="dcterms:W3CDTF">2020-06-03T12:26:17Z</dcterms:modified>
</cp:coreProperties>
</file>