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B:\Ravi Folder\JPMC excel certification\"/>
    </mc:Choice>
  </mc:AlternateContent>
  <xr:revisionPtr revIDLastSave="0" documentId="13_ncr:1_{D36BC5C8-B6E1-4F41-A237-33B18D146C5B}" xr6:coauthVersionLast="40" xr6:coauthVersionMax="40" xr10:uidLastSave="{00000000-0000-0000-0000-000000000000}"/>
  <bookViews>
    <workbookView xWindow="0" yWindow="0" windowWidth="20490" windowHeight="7695" xr2:uid="{88D75A90-26BD-438C-8A87-D80F31A6A432}"/>
  </bookViews>
  <sheets>
    <sheet name="Data " sheetId="1" r:id="rId1"/>
    <sheet name="Analysis" sheetId="2" r:id="rId2"/>
    <sheet name="Dashboard" sheetId="3" r:id="rId3"/>
  </sheets>
  <definedNames>
    <definedName name="_xlchart.v1.0" hidden="1">Analysis!$A$109:$A$118</definedName>
    <definedName name="_xlchart.v1.1" hidden="1">Analysis!$B$108</definedName>
    <definedName name="_xlchart.v1.2" hidden="1">Analysis!$B$109:$B$118</definedName>
    <definedName name="_xlchart.v1.3" hidden="1">Analysis!$A$109:$A$118</definedName>
    <definedName name="_xlchart.v1.4" hidden="1">Analysis!$B$108</definedName>
    <definedName name="_xlchart.v1.5" hidden="1">Analysis!$B$109:$B$118</definedName>
    <definedName name="Slicer_Account_Type">#N/A</definedName>
    <definedName name="Slicer_Year1">#N/A</definedName>
  </definedNames>
  <calcPr calcId="191028"/>
  <pivotCaches>
    <pivotCache cacheId="0" r:id="rId4"/>
    <pivotCache cacheId="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2" i="1" l="1"/>
  <c r="B71" i="1"/>
  <c r="B70" i="1"/>
  <c r="B69" i="1"/>
  <c r="B68" i="1"/>
  <c r="B128" i="2"/>
  <c r="S5" i="1" l="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B117" i="2"/>
  <c r="B40" i="2"/>
  <c r="B109" i="2"/>
  <c r="B115" i="2"/>
  <c r="B39" i="2"/>
  <c r="B68" i="2"/>
  <c r="B114" i="2"/>
  <c r="B38" i="2"/>
  <c r="B113" i="2"/>
  <c r="B116" i="2"/>
  <c r="B36" i="2"/>
  <c r="B111" i="2"/>
  <c r="B69" i="2"/>
  <c r="B66" i="2"/>
  <c r="B37" i="2"/>
  <c r="B118" i="2"/>
  <c r="B67" i="2"/>
  <c r="B110" i="2"/>
  <c r="B112" i="2"/>
  <c r="F5" i="2" l="1"/>
  <c r="A15" i="2"/>
  <c r="A5" i="2"/>
  <c r="B10" i="2"/>
  <c r="T10" i="1" l="1"/>
  <c r="T18" i="1"/>
  <c r="T41" i="1"/>
  <c r="T8" i="1"/>
  <c r="T46" i="1"/>
  <c r="T29" i="1"/>
  <c r="T63" i="1"/>
  <c r="T55" i="1"/>
  <c r="T45" i="1"/>
  <c r="T56" i="1"/>
  <c r="T47" i="1"/>
  <c r="T32" i="1"/>
  <c r="T21" i="1"/>
  <c r="T62" i="1"/>
  <c r="T23" i="1"/>
  <c r="T39" i="1"/>
  <c r="T22" i="1"/>
  <c r="T53" i="1"/>
  <c r="T37" i="1"/>
  <c r="T35" i="1"/>
  <c r="T5" i="1"/>
  <c r="T61" i="1"/>
  <c r="T16" i="1"/>
  <c r="T15" i="1"/>
  <c r="T59" i="1"/>
  <c r="T33" i="1"/>
  <c r="T52" i="1"/>
  <c r="T31" i="1"/>
  <c r="T50" i="1"/>
  <c r="T28" i="1"/>
  <c r="T30" i="1"/>
  <c r="T42" i="1"/>
  <c r="T14" i="1"/>
  <c r="T17" i="1"/>
  <c r="T19" i="1"/>
  <c r="T6" i="1"/>
  <c r="T58" i="1"/>
  <c r="T24" i="1"/>
  <c r="T40" i="1"/>
  <c r="T60" i="1"/>
  <c r="T13" i="1"/>
  <c r="T51" i="1"/>
  <c r="T27" i="1"/>
  <c r="T34" i="1"/>
  <c r="T64" i="1"/>
  <c r="T26" i="1"/>
  <c r="T36" i="1"/>
  <c r="T57" i="1"/>
  <c r="T9" i="1"/>
  <c r="T7" i="1"/>
  <c r="T20" i="1"/>
  <c r="T49" i="1"/>
  <c r="T12" i="1"/>
  <c r="T48" i="1"/>
  <c r="T44" i="1"/>
  <c r="T54" i="1"/>
  <c r="T11" i="1"/>
  <c r="T43" i="1"/>
  <c r="T38" i="1"/>
  <c r="T25" i="1"/>
</calcChain>
</file>

<file path=xl/sharedStrings.xml><?xml version="1.0" encoding="utf-8"?>
<sst xmlns="http://schemas.openxmlformats.org/spreadsheetml/2006/main" count="911" uniqueCount="310">
  <si>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</si>
  <si>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</si>
  <si>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</si>
  <si>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</si>
  <si>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</si>
  <si>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</si>
  <si>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</si>
  <si>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</si>
  <si>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</si>
  <si>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</si>
  <si>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</si>
  <si>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</si>
  <si>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</si>
  <si>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</si>
  <si>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</si>
  <si>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</si>
  <si>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</si>
  <si>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</si>
  <si>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</si>
  <si>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</si>
  <si>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</si>
  <si>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</si>
  <si>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</si>
  <si>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</si>
  <si>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</si>
  <si>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</si>
  <si>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</si>
  <si>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</si>
  <si>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</si>
  <si>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</si>
  <si>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</si>
  <si>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</si>
  <si>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</si>
  <si>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</si>
  <si>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</si>
  <si>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</si>
  <si>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</si>
  <si>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</si>
  <si>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</si>
  <si>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</si>
  <si>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</si>
  <si>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</si>
  <si>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</si>
  <si>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</si>
  <si>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</si>
  <si>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</si>
  <si>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</si>
  <si>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</si>
  <si>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</si>
  <si>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</si>
  <si>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</si>
  <si>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</si>
  <si>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</si>
  <si>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</si>
  <si>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</si>
  <si>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</si>
  <si>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</si>
  <si>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</si>
  <si>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</si>
  <si>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</si>
  <si>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</si>
  <si>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</si>
  <si>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</si>
  <si>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</si>
  <si>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</si>
  <si>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</si>
  <si>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</si>
  <si>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</si>
  <si>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</si>
  <si>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</si>
  <si>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</si>
  <si>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</si>
  <si>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</si>
  <si>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</si>
  <si>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</si>
  <si>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</si>
  <si>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</si>
  <si>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</si>
  <si>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</si>
  <si>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</si>
  <si>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</si>
  <si>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</si>
  <si>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</si>
  <si>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</si>
  <si>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</si>
  <si>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</si>
  <si>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</si>
  <si>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</si>
  <si>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</si>
  <si>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</si>
  <si>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</si>
  <si>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</si>
  <si>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</si>
  <si>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</si>
  <si>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</si>
  <si>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</si>
  <si>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</si>
  <si>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</si>
  <si>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</si>
  <si>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</si>
  <si>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</si>
  <si>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</si>
  <si>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</si>
  <si>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</si>
  <si>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</si>
  <si>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</si>
  <si>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</si>
  <si>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</si>
  <si>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</si>
  <si>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</si>
  <si>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</si>
  <si>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</si>
  <si>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</si>
  <si>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</si>
  <si>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</si>
  <si>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</si>
  <si>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</si>
  <si>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</si>
  <si>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</si>
  <si>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</si>
  <si>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</si>
  <si>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</si>
  <si>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</si>
  <si>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</si>
  <si>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</si>
  <si>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</si>
  <si>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</si>
  <si>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</si>
  <si>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</si>
  <si>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</si>
  <si>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</si>
  <si>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</si>
  <si>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</si>
  <si>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</si>
  <si>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</si>
  <si>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</si>
  <si>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</si>
  <si>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</si>
  <si>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</si>
  <si>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</si>
  <si>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</si>
  <si>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</si>
  <si>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</si>
  <si>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</si>
  <si>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</si>
  <si>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</si>
  <si>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</si>
  <si>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</si>
  <si>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</si>
  <si>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</si>
  <si>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</si>
  <si>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</si>
  <si>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</si>
  <si>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</si>
  <si>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</si>
  <si>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</si>
  <si>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</si>
  <si>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</si>
  <si>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</si>
  <si>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</si>
  <si>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</si>
  <si>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</si>
  <si>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</si>
  <si>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</si>
  <si>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</si>
  <si>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</si>
  <si>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</si>
  <si>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</si>
  <si>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</si>
  <si>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</si>
  <si>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</si>
  <si>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</si>
  <si>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</si>
  <si>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</si>
  <si>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</si>
  <si>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</si>
  <si>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</si>
  <si>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</si>
  <si>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</si>
  <si>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</si>
  <si>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</si>
  <si>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</si>
  <si>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</si>
  <si>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</si>
  <si>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</si>
  <si>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</si>
  <si>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</si>
  <si>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</si>
  <si>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</si>
  <si>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</si>
  <si>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</si>
  <si>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</si>
  <si>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</si>
  <si>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</si>
  <si>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</si>
  <si>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</si>
  <si>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</si>
  <si>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</si>
  <si>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</si>
  <si>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</si>
  <si>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</si>
  <si>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</si>
  <si>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</si>
  <si>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</si>
  <si>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</si>
  <si>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</si>
  <si>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</si>
  <si>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</si>
  <si>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</si>
  <si>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</si>
  <si>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</si>
  <si>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</si>
  <si>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</si>
  <si>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</si>
  <si>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</si>
  <si>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</si>
  <si>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</si>
  <si>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</si>
  <si>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</si>
  <si>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</si>
  <si>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</si>
  <si>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</si>
  <si>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</si>
  <si>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</si>
  <si>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</si>
  <si>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</si>
  <si>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</si>
  <si>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</si>
  <si>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</si>
  <si>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</si>
  <si>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</si>
  <si>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</si>
  <si>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</si>
  <si>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</si>
  <si>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</si>
  <si>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</si>
  <si>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</si>
  <si>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</si>
  <si>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</si>
  <si>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</si>
  <si>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</si>
  <si>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</si>
  <si>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</si>
  <si>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</si>
  <si>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</si>
  <si>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</si>
  <si>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</si>
  <si>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</si>
  <si>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</si>
  <si>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</si>
  <si>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</si>
  <si>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</si>
  <si>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</si>
  <si>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</si>
  <si>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</si>
  <si>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</si>
  <si>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</si>
  <si>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</si>
  <si>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</si>
  <si>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</si>
  <si>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</si>
  <si>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</si>
  <si>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</si>
  <si>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Sum of 2017</t>
  </si>
  <si>
    <t>Sum of 2018</t>
  </si>
  <si>
    <t>Sum of 2019</t>
  </si>
  <si>
    <t>Sum of 2020</t>
  </si>
  <si>
    <t>Sum of 2021</t>
  </si>
  <si>
    <t>Row Labels</t>
  </si>
  <si>
    <t>Grand Total</t>
  </si>
  <si>
    <t>Total unit sales</t>
  </si>
  <si>
    <t>Average of 5 YR CAGR</t>
  </si>
  <si>
    <t>Count of Account Name</t>
  </si>
  <si>
    <t>2017</t>
  </si>
  <si>
    <t>2018</t>
  </si>
  <si>
    <t>2019</t>
  </si>
  <si>
    <t>2020</t>
  </si>
  <si>
    <t>2021</t>
  </si>
  <si>
    <t>Max of 2021</t>
  </si>
  <si>
    <t>Max of 2020</t>
  </si>
  <si>
    <t>Max of 2017</t>
  </si>
  <si>
    <t>Max of 2018</t>
  </si>
  <si>
    <t>Max of 2019</t>
  </si>
  <si>
    <t>max sales 2017-2021</t>
  </si>
  <si>
    <t>Count of account type</t>
  </si>
  <si>
    <t>Column Labels</t>
  </si>
  <si>
    <t>Values</t>
  </si>
  <si>
    <t xml:space="preserve">Year </t>
  </si>
  <si>
    <t>Sales</t>
  </si>
  <si>
    <t>Count of Social Media</t>
  </si>
  <si>
    <t>Total sales</t>
  </si>
  <si>
    <t>Sum of Total sales</t>
  </si>
  <si>
    <t>Top 5 decision makers</t>
  </si>
  <si>
    <t>sales % by account type</t>
  </si>
  <si>
    <t>social media programs by account type</t>
  </si>
  <si>
    <t xml:space="preserve">yearly sales value </t>
  </si>
  <si>
    <t>Top 5 accounts</t>
  </si>
  <si>
    <t xml:space="preserve">Accounts </t>
  </si>
  <si>
    <t>2017.</t>
  </si>
  <si>
    <t>-2017</t>
  </si>
  <si>
    <t>-2018</t>
  </si>
  <si>
    <t>-2019</t>
  </si>
  <si>
    <t>-2020</t>
  </si>
  <si>
    <t>-2021</t>
  </si>
  <si>
    <t>Year</t>
  </si>
  <si>
    <t>2017-21</t>
  </si>
  <si>
    <t>(blank)</t>
  </si>
  <si>
    <t>Total Sales</t>
  </si>
  <si>
    <t>Sum of Total Sales</t>
  </si>
  <si>
    <t xml:space="preserve">Total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</si>
</sst>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
    <numFmt numFmtId="166" formatCode="\20\1\7"/>
  </numFmts>
  <fonts count="9"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b/>
      <sz val="11"/>
      <color rgb="FFFF0000"/>
      <name val="Calibri"/>
      <family val="2"/>
      <scheme val="minor"/>
    </font>
    <font>
      <b/>
      <sz val="11"/>
      <color rgb="FF002060"/>
      <name val="Calibri"/>
      <family val="2"/>
      <scheme val="minor"/>
    </font>
    <font>
      <b/>
      <sz val="11"/>
      <color theme="0"/>
      <name val="Calibri"/>
      <family val="2"/>
      <scheme val="minor"/>
    </font>
    <font>
      <sz val="11"/>
      <color rgb="FF492207"/>
      <name val="Calibri"/>
      <family val="2"/>
      <scheme val="minor"/>
    </font>
    <font>
      <b/>
      <i/>
      <sz val="11"/>
      <color theme="1"/>
      <name val="Calibri"/>
      <family val="2"/>
      <scheme val="minor"/>
    </font>
  </fonts>
  <fills count="14">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rgb="FF492207"/>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5" borderId="0" xfId="0" applyFill="1"/>
    <xf numFmtId="0" fontId="0" fillId="3" borderId="0" xfId="0" applyFill="1" applyAlignment="1"/>
    <xf numFmtId="0" fontId="0" fillId="0" borderId="0" xfId="0" applyNumberFormat="1"/>
    <xf numFmtId="0" fontId="0" fillId="0" borderId="0" xfId="0" pivotButton="1"/>
    <xf numFmtId="0" fontId="0" fillId="0" borderId="0" xfId="0" applyAlignment="1">
      <alignment horizontal="left"/>
    </xf>
    <xf numFmtId="0" fontId="4" fillId="6" borderId="0" xfId="0" applyFont="1" applyFill="1"/>
    <xf numFmtId="10" fontId="0" fillId="0" borderId="0" xfId="0" applyNumberFormat="1"/>
    <xf numFmtId="10" fontId="5" fillId="7" borderId="0" xfId="0" applyNumberFormat="1" applyFont="1" applyFill="1"/>
    <xf numFmtId="0" fontId="5" fillId="6" borderId="0" xfId="0" applyFont="1" applyFill="1"/>
    <xf numFmtId="164" fontId="4" fillId="6" borderId="0" xfId="0" applyNumberFormat="1" applyFont="1" applyFill="1"/>
    <xf numFmtId="0" fontId="0" fillId="8" borderId="0" xfId="0" applyFill="1"/>
    <xf numFmtId="164" fontId="5" fillId="8" borderId="0" xfId="0" applyNumberFormat="1" applyFont="1" applyFill="1"/>
    <xf numFmtId="0" fontId="1" fillId="9" borderId="0" xfId="0" applyFont="1" applyFill="1"/>
    <xf numFmtId="165" fontId="0" fillId="0" borderId="0" xfId="0" applyNumberFormat="1"/>
    <xf numFmtId="164" fontId="0" fillId="0" borderId="0" xfId="0" applyNumberFormat="1"/>
    <xf numFmtId="0" fontId="0" fillId="7" borderId="0" xfId="0" applyFill="1" applyAlignment="1">
      <alignment horizontal="left"/>
    </xf>
    <xf numFmtId="0" fontId="0" fillId="7" borderId="0" xfId="0" applyFill="1"/>
    <xf numFmtId="0" fontId="1" fillId="10" borderId="0" xfId="0" applyFont="1" applyFill="1"/>
    <xf numFmtId="0" fontId="1" fillId="6" borderId="0" xfId="0" applyFont="1" applyFill="1"/>
    <xf numFmtId="0" fontId="1" fillId="11" borderId="0" xfId="0" applyFont="1" applyFill="1"/>
    <xf numFmtId="0" fontId="0" fillId="0" borderId="1" xfId="0" applyBorder="1" applyAlignment="1">
      <alignment horizontal="left"/>
    </xf>
    <xf numFmtId="0" fontId="1" fillId="3" borderId="1" xfId="0" applyFont="1" applyFill="1" applyBorder="1" applyAlignment="1">
      <alignment horizontal="left"/>
    </xf>
    <xf numFmtId="0" fontId="1" fillId="3" borderId="1" xfId="0" applyFont="1" applyFill="1" applyBorder="1"/>
    <xf numFmtId="166" fontId="0" fillId="0" borderId="0" xfId="0" applyNumberFormat="1" applyAlignment="1">
      <alignment horizontal="left"/>
    </xf>
    <xf numFmtId="0" fontId="7" fillId="5" borderId="0" xfId="0" applyFont="1" applyFill="1"/>
    <xf numFmtId="0" fontId="6" fillId="12" borderId="0" xfId="0" applyFont="1" applyFill="1"/>
    <xf numFmtId="0" fontId="1" fillId="2" borderId="0" xfId="0" applyFont="1" applyFill="1" applyAlignment="1"/>
    <xf numFmtId="0" fontId="0" fillId="2" borderId="0" xfId="0" applyFill="1" applyAlignment="1"/>
    <xf numFmtId="0" fontId="1" fillId="3" borderId="0" xfId="0" applyFont="1" applyFill="1" applyAlignment="1"/>
    <xf numFmtId="0" fontId="0" fillId="3" borderId="0" xfId="0" applyFill="1" applyAlignment="1"/>
    <xf numFmtId="0" fontId="1" fillId="4" borderId="0" xfId="0" applyFont="1" applyFill="1" applyAlignment="1"/>
    <xf numFmtId="0" fontId="0" fillId="0" borderId="0" xfId="0" applyAlignment="1"/>
    <xf numFmtId="0" fontId="8" fillId="6" borderId="6" xfId="0" applyFont="1" applyFill="1" applyBorder="1"/>
    <xf numFmtId="0" fontId="8" fillId="6" borderId="7" xfId="0" applyFont="1" applyFill="1" applyBorder="1"/>
    <xf numFmtId="0" fontId="0" fillId="13" borderId="2" xfId="0" applyFill="1" applyBorder="1"/>
    <xf numFmtId="0" fontId="0" fillId="13" borderId="3" xfId="0" applyFill="1" applyBorder="1"/>
    <xf numFmtId="0" fontId="0" fillId="13" borderId="4" xfId="0" applyFill="1" applyBorder="1"/>
    <xf numFmtId="0" fontId="0" fillId="13" borderId="5" xfId="0" applyFill="1" applyBorder="1"/>
  </cellXfs>
  <cellStyles count="1">
    <cellStyle name="Normal" xfId="0" builtinId="0"/>
  </cellStyles>
  <dxfs count="510">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font>
        <color theme="1"/>
      </font>
      <fill>
        <patternFill>
          <bgColor theme="5"/>
        </patternFill>
      </fill>
    </dxf>
    <dxf>
      <font>
        <color theme="1"/>
      </font>
      <fill>
        <patternFill>
          <bgColor theme="5"/>
        </patternFill>
      </fill>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14" formatCode="0.00%"/>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0" formatCode="General"/>
    </dxf>
    <dxf>
      <numFmt numFmtId="165" formatCode="#,000"/>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4" formatCode="0.00%"/>
    </dxf>
    <dxf>
      <numFmt numFmtId="0" formatCode="General"/>
    </dxf>
    <dxf>
      <numFmt numFmtId="165" formatCode="#,000"/>
    </dxf>
    <dxf>
      <numFmt numFmtId="0" formatCode="General"/>
    </dxf>
    <dxf>
      <numFmt numFmtId="165" formatCode="#,000"/>
    </dxf>
    <dxf>
      <numFmt numFmtId="0" formatCode="General"/>
    </dxf>
    <dxf>
      <numFmt numFmtId="165" formatCode="#,000"/>
    </dxf>
    <dxf>
      <numFmt numFmtId="165" formatCode="#,000"/>
    </dxf>
    <dxf>
      <numFmt numFmtId="164" formatCode="#,#00"/>
    </dxf>
    <dxf>
      <numFmt numFmtId="164" formatCode="#,#00"/>
    </dxf>
    <dxf>
      <numFmt numFmtId="164" formatCode="#,#00"/>
    </dxf>
    <dxf>
      <numFmt numFmtId="164" formatCode="#,#00"/>
    </dxf>
    <dxf>
      <numFmt numFmtId="166" formatCode="\20\1\7"/>
    </dxf>
    <dxf>
      <numFmt numFmtId="165" formatCode="#,000"/>
    </dxf>
    <dxf>
      <numFmt numFmtId="165" formatCode="#,000"/>
    </dxf>
    <dxf>
      <numFmt numFmtId="0" formatCode="General"/>
    </dxf>
    <dxf>
      <numFmt numFmtId="164" formatCode="#,#00"/>
    </dxf>
    <dxf>
      <numFmt numFmtId="164" formatCode="#,#00"/>
    </dxf>
    <dxf>
      <numFmt numFmtId="164" formatCode="#,#00"/>
    </dxf>
    <dxf>
      <numFmt numFmtId="164" formatCode="#,#00"/>
    </dxf>
    <dxf>
      <numFmt numFmtId="165" formatCode="#,000"/>
    </dxf>
    <dxf>
      <numFmt numFmtId="165" formatCode="#,000"/>
    </dxf>
    <dxf>
      <numFmt numFmtId="0" formatCode="General"/>
    </dxf>
    <dxf>
      <numFmt numFmtId="14" formatCode="0.00%"/>
    </dxf>
    <dxf>
      <numFmt numFmtId="166" formatCode="\20\1\7"/>
    </dxf>
    <dxf>
      <numFmt numFmtId="164" formatCode="#,#00"/>
    </dxf>
    <dxf>
      <numFmt numFmtId="164" formatCode="#,#00"/>
    </dxf>
    <dxf>
      <numFmt numFmtId="164" formatCode="#,#00"/>
    </dxf>
    <dxf>
      <numFmt numFmtId="164" formatCode="#,#00"/>
    </dxf>
    <dxf>
      <numFmt numFmtId="165" formatCode="#,000"/>
    </dxf>
    <dxf>
      <numFmt numFmtId="165" formatCode="#,000"/>
    </dxf>
    <dxf>
      <numFmt numFmtId="0" formatCode="General"/>
    </dxf>
    <dxf>
      <numFmt numFmtId="165" formatCode="#,000"/>
    </dxf>
    <dxf>
      <numFmt numFmtId="0" formatCode="General"/>
    </dxf>
    <dxf>
      <numFmt numFmtId="0" formatCode="General"/>
    </dxf>
    <dxf>
      <numFmt numFmtId="0" formatCode="General"/>
    </dxf>
    <dxf>
      <numFmt numFmtId="0" formatCode="General"/>
    </dxf>
    <dxf>
      <numFmt numFmtId="0" formatCode="General"/>
    </dxf>
    <dxf>
      <numFmt numFmtId="165" formatCode="#,000"/>
    </dxf>
    <dxf>
      <numFmt numFmtId="0" formatCode="General"/>
    </dxf>
    <dxf>
      <numFmt numFmtId="165" formatCode="#,000"/>
    </dxf>
    <dxf>
      <numFmt numFmtId="0" formatCode="General"/>
    </dxf>
    <dxf>
      <numFmt numFmtId="13" formatCode="0%"/>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theme="4" tint="-0.499984740745262"/>
        </patternFill>
      </fill>
    </dxf>
  </dxfs>
  <tableStyles count="1" defaultTableStyle="TableStyleMedium2" defaultPivotStyle="PivotStyleLight16">
    <tableStyle name="Slicer Style 1" pivot="0" table="0" count="3" xr9:uid="{6B7CB1B6-BFC1-400C-9939-FAD7A24F31CA}">
      <tableStyleElement type="wholeTable" dxfId="351"/>
      <tableStyleElement type="headerRow" dxfId="350"/>
    </tableStyle>
  </tableStyles>
  <colors>
    <mruColors>
      <color rgb="FF492207"/>
      <color rgb="FFEB6E19"/>
    </mruColors>
  </colors>
  <extLst>
    <ext xmlns:x14="http://schemas.microsoft.com/office/spreadsheetml/2009/9/main" uri="{46F421CA-312F-682f-3DD2-61675219B42D}">
      <x14:dxfs count="1">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4.xlsx]Analysis!PivotTable5</c:name>
    <c:fmtId val="1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i="0" baseline="0">
                <a:effectLst/>
              </a:rPr>
              <a:t>Sales value over time</a:t>
            </a:r>
            <a:endParaRPr lang="en-IN" sz="1600">
              <a:effectLst/>
            </a:endParaRPr>
          </a:p>
        </c:rich>
      </c:tx>
      <c:layout>
        <c:manualLayout>
          <c:xMode val="edge"/>
          <c:yMode val="edge"/>
          <c:x val="0.28009011373578308"/>
          <c:y val="1.851851851851851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3"/>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4360892388451446"/>
          <c:y val="0.33333333333333331"/>
          <c:w val="0.83657042869641296"/>
          <c:h val="0.55007728200641581"/>
        </c:manualLayout>
      </c:layout>
      <c:lineChart>
        <c:grouping val="standard"/>
        <c:varyColors val="0"/>
        <c:ser>
          <c:idx val="0"/>
          <c:order val="0"/>
          <c:tx>
            <c:strRef>
              <c:f>Analysis!$B$28:$B$29</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Analysis!$A$30:$A$34</c:f>
              <c:strCache>
                <c:ptCount val="5"/>
                <c:pt idx="0">
                  <c:v>-2017</c:v>
                </c:pt>
                <c:pt idx="1">
                  <c:v>-2018</c:v>
                </c:pt>
                <c:pt idx="2">
                  <c:v>-2019</c:v>
                </c:pt>
                <c:pt idx="3">
                  <c:v>-2020</c:v>
                </c:pt>
                <c:pt idx="4">
                  <c:v>-2021</c:v>
                </c:pt>
              </c:strCache>
            </c:strRef>
          </c:cat>
          <c:val>
            <c:numRef>
              <c:f>Analysis!$B$30:$B$34</c:f>
              <c:numCache>
                <c:formatCode>General</c:formatCode>
                <c:ptCount val="5"/>
              </c:numCache>
            </c:numRef>
          </c:val>
          <c:smooth val="0"/>
          <c:extLst>
            <c:ext xmlns:c16="http://schemas.microsoft.com/office/drawing/2014/chart" uri="{C3380CC4-5D6E-409C-BE32-E72D297353CC}">
              <c16:uniqueId val="{00000000-64FD-4B0B-BA7D-AFC14A624DAD}"/>
            </c:ext>
          </c:extLst>
        </c:ser>
        <c:ser>
          <c:idx val="1"/>
          <c:order val="1"/>
          <c:tx>
            <c:strRef>
              <c:f>Analysis!$C$28:$C$29</c:f>
              <c:strCache>
                <c:ptCount val="1"/>
                <c:pt idx="0">
                  <c:v>Wholesale Distributor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Analysis!$A$30:$A$34</c:f>
              <c:strCache>
                <c:ptCount val="5"/>
                <c:pt idx="0">
                  <c:v>-2017</c:v>
                </c:pt>
                <c:pt idx="1">
                  <c:v>-2018</c:v>
                </c:pt>
                <c:pt idx="2">
                  <c:v>-2019</c:v>
                </c:pt>
                <c:pt idx="3">
                  <c:v>-2020</c:v>
                </c:pt>
                <c:pt idx="4">
                  <c:v>-2021</c:v>
                </c:pt>
              </c:strCache>
            </c:strRef>
          </c:cat>
          <c:val>
            <c:numRef>
              <c:f>Analysis!$C$30:$C$34</c:f>
              <c:numCache>
                <c:formatCode>#,#00</c:formatCode>
                <c:ptCount val="5"/>
                <c:pt idx="0">
                  <c:v>44888</c:v>
                </c:pt>
                <c:pt idx="1">
                  <c:v>50567</c:v>
                </c:pt>
                <c:pt idx="2">
                  <c:v>70312</c:v>
                </c:pt>
                <c:pt idx="3">
                  <c:v>82583</c:v>
                </c:pt>
                <c:pt idx="4">
                  <c:v>100592</c:v>
                </c:pt>
              </c:numCache>
            </c:numRef>
          </c:val>
          <c:smooth val="0"/>
          <c:extLst>
            <c:ext xmlns:c16="http://schemas.microsoft.com/office/drawing/2014/chart" uri="{C3380CC4-5D6E-409C-BE32-E72D297353CC}">
              <c16:uniqueId val="{0000000C-BB91-4C4A-8B85-95CAC93C69B7}"/>
            </c:ext>
          </c:extLst>
        </c:ser>
        <c:ser>
          <c:idx val="2"/>
          <c:order val="2"/>
          <c:tx>
            <c:strRef>
              <c:f>Analysis!$D$28:$D$29</c:f>
              <c:strCache>
                <c:ptCount val="1"/>
                <c:pt idx="0">
                  <c:v>Small Business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Analysis!$A$30:$A$34</c:f>
              <c:strCache>
                <c:ptCount val="5"/>
                <c:pt idx="0">
                  <c:v>-2017</c:v>
                </c:pt>
                <c:pt idx="1">
                  <c:v>-2018</c:v>
                </c:pt>
                <c:pt idx="2">
                  <c:v>-2019</c:v>
                </c:pt>
                <c:pt idx="3">
                  <c:v>-2020</c:v>
                </c:pt>
                <c:pt idx="4">
                  <c:v>-2021</c:v>
                </c:pt>
              </c:strCache>
            </c:strRef>
          </c:cat>
          <c:val>
            <c:numRef>
              <c:f>Analysis!$D$30:$D$34</c:f>
              <c:numCache>
                <c:formatCode>#,#00</c:formatCode>
                <c:ptCount val="5"/>
                <c:pt idx="0">
                  <c:v>51804</c:v>
                </c:pt>
                <c:pt idx="1">
                  <c:v>60121</c:v>
                </c:pt>
                <c:pt idx="2">
                  <c:v>60760</c:v>
                </c:pt>
                <c:pt idx="3">
                  <c:v>75991</c:v>
                </c:pt>
                <c:pt idx="4">
                  <c:v>94147</c:v>
                </c:pt>
              </c:numCache>
            </c:numRef>
          </c:val>
          <c:smooth val="0"/>
          <c:extLst>
            <c:ext xmlns:c16="http://schemas.microsoft.com/office/drawing/2014/chart" uri="{C3380CC4-5D6E-409C-BE32-E72D297353CC}">
              <c16:uniqueId val="{0000000D-BB91-4C4A-8B85-95CAC93C69B7}"/>
            </c:ext>
          </c:extLst>
        </c:ser>
        <c:ser>
          <c:idx val="3"/>
          <c:order val="3"/>
          <c:tx>
            <c:strRef>
              <c:f>Analysis!$E$28:$E$29</c:f>
              <c:strCache>
                <c:ptCount val="1"/>
                <c:pt idx="0">
                  <c:v>Online Retailer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Analysis!$A$30:$A$34</c:f>
              <c:strCache>
                <c:ptCount val="5"/>
                <c:pt idx="0">
                  <c:v>-2017</c:v>
                </c:pt>
                <c:pt idx="1">
                  <c:v>-2018</c:v>
                </c:pt>
                <c:pt idx="2">
                  <c:v>-2019</c:v>
                </c:pt>
                <c:pt idx="3">
                  <c:v>-2020</c:v>
                </c:pt>
                <c:pt idx="4">
                  <c:v>-2021</c:v>
                </c:pt>
              </c:strCache>
            </c:strRef>
          </c:cat>
          <c:val>
            <c:numRef>
              <c:f>Analysis!$E$30:$E$34</c:f>
              <c:numCache>
                <c:formatCode>#,#00</c:formatCode>
                <c:ptCount val="5"/>
                <c:pt idx="0">
                  <c:v>47259</c:v>
                </c:pt>
                <c:pt idx="1">
                  <c:v>67275</c:v>
                </c:pt>
                <c:pt idx="2">
                  <c:v>79646</c:v>
                </c:pt>
                <c:pt idx="3">
                  <c:v>102065</c:v>
                </c:pt>
                <c:pt idx="4">
                  <c:v>112270</c:v>
                </c:pt>
              </c:numCache>
            </c:numRef>
          </c:val>
          <c:smooth val="0"/>
          <c:extLst>
            <c:ext xmlns:c16="http://schemas.microsoft.com/office/drawing/2014/chart" uri="{C3380CC4-5D6E-409C-BE32-E72D297353CC}">
              <c16:uniqueId val="{0000000E-BB91-4C4A-8B85-95CAC93C69B7}"/>
            </c:ext>
          </c:extLst>
        </c:ser>
        <c:ser>
          <c:idx val="4"/>
          <c:order val="4"/>
          <c:tx>
            <c:strRef>
              <c:f>Analysis!$F$28:$F$29</c:f>
              <c:strCache>
                <c:ptCount val="1"/>
                <c:pt idx="0">
                  <c:v>Medium Business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Analysis!$A$30:$A$34</c:f>
              <c:strCache>
                <c:ptCount val="5"/>
                <c:pt idx="0">
                  <c:v>-2017</c:v>
                </c:pt>
                <c:pt idx="1">
                  <c:v>-2018</c:v>
                </c:pt>
                <c:pt idx="2">
                  <c:v>-2019</c:v>
                </c:pt>
                <c:pt idx="3">
                  <c:v>-2020</c:v>
                </c:pt>
                <c:pt idx="4">
                  <c:v>-2021</c:v>
                </c:pt>
              </c:strCache>
            </c:strRef>
          </c:cat>
          <c:val>
            <c:numRef>
              <c:f>Analysis!$F$30:$F$34</c:f>
              <c:numCache>
                <c:formatCode>#,#00</c:formatCode>
                <c:ptCount val="5"/>
                <c:pt idx="0">
                  <c:v>46025</c:v>
                </c:pt>
                <c:pt idx="1">
                  <c:v>65032</c:v>
                </c:pt>
                <c:pt idx="2">
                  <c:v>77731</c:v>
                </c:pt>
                <c:pt idx="3">
                  <c:v>89595</c:v>
                </c:pt>
                <c:pt idx="4">
                  <c:v>102185</c:v>
                </c:pt>
              </c:numCache>
            </c:numRef>
          </c:val>
          <c:smooth val="0"/>
          <c:extLst>
            <c:ext xmlns:c16="http://schemas.microsoft.com/office/drawing/2014/chart" uri="{C3380CC4-5D6E-409C-BE32-E72D297353CC}">
              <c16:uniqueId val="{0000000F-BB91-4C4A-8B85-95CAC93C69B7}"/>
            </c:ext>
          </c:extLst>
        </c:ser>
        <c:dLbls>
          <c:showLegendKey val="0"/>
          <c:showVal val="0"/>
          <c:showCatName val="0"/>
          <c:showSerName val="0"/>
          <c:showPercent val="0"/>
          <c:showBubbleSize val="0"/>
        </c:dLbls>
        <c:marker val="1"/>
        <c:smooth val="0"/>
        <c:axId val="506761760"/>
        <c:axId val="506759792"/>
      </c:lineChart>
      <c:catAx>
        <c:axId val="50676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759792"/>
        <c:crosses val="autoZero"/>
        <c:auto val="1"/>
        <c:lblAlgn val="ctr"/>
        <c:lblOffset val="100"/>
        <c:noMultiLvlLbl val="0"/>
      </c:catAx>
      <c:valAx>
        <c:axId val="50675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761760"/>
        <c:crosses val="autoZero"/>
        <c:crossBetween val="between"/>
      </c:valAx>
      <c:spPr>
        <a:noFill/>
        <a:ln>
          <a:noFill/>
        </a:ln>
        <a:effectLst/>
      </c:spPr>
    </c:plotArea>
    <c:legend>
      <c:legendPos val="r"/>
      <c:layout>
        <c:manualLayout>
          <c:xMode val="edge"/>
          <c:yMode val="edge"/>
          <c:x val="0.17740157480314961"/>
          <c:y val="0.14930446194225719"/>
          <c:w val="0.21061361815078858"/>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4.xlsx]Analysis!PivotTable12</c:name>
    <c:fmtId val="19"/>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Top</a:t>
            </a:r>
            <a:r>
              <a:rPr lang="en-US" b="1" baseline="0">
                <a:solidFill>
                  <a:schemeClr val="accent1">
                    <a:lumMod val="75000"/>
                  </a:schemeClr>
                </a:solidFill>
              </a:rPr>
              <a:t> 5 Decision makers </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90000"/>
            </a:schemeClr>
          </a:solidFill>
          <a:ln>
            <a:noFill/>
          </a:ln>
          <a:effectLst/>
        </c:spPr>
      </c:pivotFmt>
      <c:pivotFmt>
        <c:idx val="4"/>
        <c:spPr>
          <a:solidFill>
            <a:schemeClr val="tx2">
              <a:lumMod val="40000"/>
              <a:lumOff val="60000"/>
            </a:schemeClr>
          </a:solidFill>
          <a:ln>
            <a:noFill/>
          </a:ln>
          <a:effectLst/>
        </c:spPr>
      </c:pivotFmt>
      <c:pivotFmt>
        <c:idx val="5"/>
        <c:spPr>
          <a:solidFill>
            <a:schemeClr val="bg2">
              <a:lumMod val="50000"/>
            </a:schemeClr>
          </a:solidFill>
          <a:ln>
            <a:noFill/>
          </a:ln>
          <a:effectLst/>
        </c:spPr>
      </c:pivotFmt>
      <c:pivotFmt>
        <c:idx val="6"/>
        <c:spPr>
          <a:solidFill>
            <a:schemeClr val="bg2">
              <a:lumMod val="25000"/>
            </a:schemeClr>
          </a:solidFill>
          <a:ln>
            <a:noFill/>
          </a:ln>
          <a:effectLst/>
        </c:spPr>
      </c:pivotFmt>
      <c:pivotFmt>
        <c:idx val="7"/>
        <c:spPr>
          <a:solidFill>
            <a:schemeClr val="bg2">
              <a:lumMod val="10000"/>
            </a:schemeClr>
          </a:solidFill>
          <a:ln>
            <a:noFill/>
          </a:ln>
          <a:effectLst/>
        </c:spPr>
      </c:pivotFmt>
    </c:pivotFmts>
    <c:plotArea>
      <c:layout>
        <c:manualLayout>
          <c:layoutTarget val="inner"/>
          <c:xMode val="edge"/>
          <c:yMode val="edge"/>
          <c:x val="0.23765457889192423"/>
          <c:y val="0.14393518518518519"/>
          <c:w val="0.74420483153891481"/>
          <c:h val="0.83291666666666664"/>
        </c:manualLayout>
      </c:layout>
      <c:barChart>
        <c:barDir val="bar"/>
        <c:grouping val="stacked"/>
        <c:varyColors val="0"/>
        <c:ser>
          <c:idx val="0"/>
          <c:order val="0"/>
          <c:tx>
            <c:strRef>
              <c:f>Analysis!$B$82</c:f>
              <c:strCache>
                <c:ptCount val="1"/>
                <c:pt idx="0">
                  <c:v>Total</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1-8B0E-4D01-BC3D-16A52850754D}"/>
              </c:ext>
            </c:extLst>
          </c:dPt>
          <c:dPt>
            <c:idx val="1"/>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2-8B0E-4D01-BC3D-16A52850754D}"/>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3-8B0E-4D01-BC3D-16A52850754D}"/>
              </c:ext>
            </c:extLst>
          </c:dPt>
          <c:dPt>
            <c:idx val="3"/>
            <c:invertIfNegative val="0"/>
            <c:bubble3D val="0"/>
            <c:spPr>
              <a:solidFill>
                <a:schemeClr val="bg2">
                  <a:lumMod val="25000"/>
                </a:schemeClr>
              </a:solidFill>
              <a:ln>
                <a:noFill/>
              </a:ln>
              <a:effectLst/>
            </c:spPr>
            <c:extLst>
              <c:ext xmlns:c16="http://schemas.microsoft.com/office/drawing/2014/chart" uri="{C3380CC4-5D6E-409C-BE32-E72D297353CC}">
                <c16:uniqueId val="{00000004-8B0E-4D01-BC3D-16A52850754D}"/>
              </c:ext>
            </c:extLst>
          </c:dPt>
          <c:dPt>
            <c:idx val="4"/>
            <c:invertIfNegative val="0"/>
            <c:bubble3D val="0"/>
            <c:spPr>
              <a:solidFill>
                <a:schemeClr val="bg2">
                  <a:lumMod val="10000"/>
                </a:schemeClr>
              </a:solidFill>
              <a:ln>
                <a:noFill/>
              </a:ln>
              <a:effectLst/>
            </c:spPr>
            <c:extLst>
              <c:ext xmlns:c16="http://schemas.microsoft.com/office/drawing/2014/chart" uri="{C3380CC4-5D6E-409C-BE32-E72D297353CC}">
                <c16:uniqueId val="{00000005-8B0E-4D01-BC3D-16A52850754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Analysis!$A$83:$A$88</c:f>
              <c:strCache>
                <c:ptCount val="5"/>
                <c:pt idx="0">
                  <c:v>Roy McGlynn</c:v>
                </c:pt>
                <c:pt idx="1">
                  <c:v>Dan Hill</c:v>
                </c:pt>
                <c:pt idx="2">
                  <c:v>Henry Lange</c:v>
                </c:pt>
                <c:pt idx="3">
                  <c:v>Janie Roberson</c:v>
                </c:pt>
                <c:pt idx="4">
                  <c:v>Julie Ross</c:v>
                </c:pt>
              </c:strCache>
            </c:strRef>
          </c:cat>
          <c:val>
            <c:numRef>
              <c:f>Analysis!$B$83:$B$88</c:f>
              <c:numCache>
                <c:formatCode>#,000</c:formatCode>
                <c:ptCount val="5"/>
                <c:pt idx="0">
                  <c:v>32872</c:v>
                </c:pt>
                <c:pt idx="1">
                  <c:v>34686</c:v>
                </c:pt>
                <c:pt idx="2">
                  <c:v>36951</c:v>
                </c:pt>
                <c:pt idx="3">
                  <c:v>39331</c:v>
                </c:pt>
                <c:pt idx="4">
                  <c:v>39413</c:v>
                </c:pt>
              </c:numCache>
            </c:numRef>
          </c:val>
          <c:extLst>
            <c:ext xmlns:c16="http://schemas.microsoft.com/office/drawing/2014/chart" uri="{C3380CC4-5D6E-409C-BE32-E72D297353CC}">
              <c16:uniqueId val="{00000000-8B0E-4D01-BC3D-16A52850754D}"/>
            </c:ext>
          </c:extLst>
        </c:ser>
        <c:dLbls>
          <c:dLblPos val="inEnd"/>
          <c:showLegendKey val="0"/>
          <c:showVal val="1"/>
          <c:showCatName val="0"/>
          <c:showSerName val="0"/>
          <c:showPercent val="0"/>
          <c:showBubbleSize val="0"/>
        </c:dLbls>
        <c:gapWidth val="93"/>
        <c:overlap val="100"/>
        <c:axId val="571436864"/>
        <c:axId val="571441784"/>
      </c:barChart>
      <c:catAx>
        <c:axId val="57143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71441784"/>
        <c:crosses val="autoZero"/>
        <c:auto val="1"/>
        <c:lblAlgn val="ctr"/>
        <c:lblOffset val="100"/>
        <c:noMultiLvlLbl val="0"/>
      </c:catAx>
      <c:valAx>
        <c:axId val="571441784"/>
        <c:scaling>
          <c:orientation val="minMax"/>
        </c:scaling>
        <c:delete val="1"/>
        <c:axPos val="b"/>
        <c:numFmt formatCode="#,000" sourceLinked="1"/>
        <c:majorTickMark val="none"/>
        <c:minorTickMark val="none"/>
        <c:tickLblPos val="nextTo"/>
        <c:crossAx val="57143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Yearly</a:t>
            </a:r>
            <a:r>
              <a:rPr lang="en-IN" b="1" baseline="0"/>
              <a:t> sales value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247772302890427E-2"/>
          <c:y val="0.15144650754738825"/>
          <c:w val="0.91626019720507912"/>
          <c:h val="0.74233408885717533"/>
        </c:manualLayout>
      </c:layout>
      <c:barChart>
        <c:barDir val="col"/>
        <c:grouping val="stacked"/>
        <c:varyColors val="0"/>
        <c:ser>
          <c:idx val="0"/>
          <c:order val="0"/>
          <c:tx>
            <c:strRef>
              <c:f>Analysis!$A$35</c:f>
              <c:strCache>
                <c:ptCount val="1"/>
                <c:pt idx="0">
                  <c:v>Year </c:v>
                </c:pt>
              </c:strCache>
            </c:strRef>
          </c:tx>
          <c:spPr>
            <a:solidFill>
              <a:schemeClr val="accent1"/>
            </a:solidFill>
            <a:ln>
              <a:noFill/>
            </a:ln>
            <a:effectLst/>
          </c:spPr>
          <c:invertIfNegative val="0"/>
          <c:dLbls>
            <c:dLbl>
              <c:idx val="0"/>
              <c:layout>
                <c:manualLayout>
                  <c:x val="2.772002772002772E-3"/>
                  <c:y val="3.91334644825291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48E-4DA5-B228-8752CB8F78DF}"/>
                </c:ext>
              </c:extLst>
            </c:dLbl>
            <c:dLbl>
              <c:idx val="1"/>
              <c:layout>
                <c:manualLayout>
                  <c:x val="-5.0819463749268994E-17"/>
                  <c:y val="4.472395940860487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8E-4DA5-B228-8752CB8F78DF}"/>
                </c:ext>
              </c:extLst>
            </c:dLbl>
            <c:dLbl>
              <c:idx val="2"/>
              <c:layout>
                <c:manualLayout>
                  <c:x val="0"/>
                  <c:y val="4.47239594086047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48E-4DA5-B228-8752CB8F78DF}"/>
                </c:ext>
              </c:extLst>
            </c:dLbl>
            <c:dLbl>
              <c:idx val="3"/>
              <c:layout>
                <c:manualLayout>
                  <c:x val="-1.0163892749853799E-16"/>
                  <c:y val="3.913346448252936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48E-4DA5-B228-8752CB8F78DF}"/>
                </c:ext>
              </c:extLst>
            </c:dLbl>
            <c:dLbl>
              <c:idx val="4"/>
              <c:layout>
                <c:manualLayout>
                  <c:x val="-1.0163892749853799E-16"/>
                  <c:y val="3.91334644825291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48E-4DA5-B228-8752CB8F78D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Analysis!$A$36:$A$40</c:f>
              <c:numCache>
                <c:formatCode>General</c:formatCode>
                <c:ptCount val="5"/>
                <c:pt idx="0">
                  <c:v>2017</c:v>
                </c:pt>
                <c:pt idx="1">
                  <c:v>2018</c:v>
                </c:pt>
                <c:pt idx="2">
                  <c:v>2019</c:v>
                </c:pt>
                <c:pt idx="3">
                  <c:v>2020</c:v>
                </c:pt>
                <c:pt idx="4">
                  <c:v>2021</c:v>
                </c:pt>
              </c:numCache>
            </c:numRef>
          </c:val>
          <c:extLst>
            <c:ext xmlns:c16="http://schemas.microsoft.com/office/drawing/2014/chart" uri="{C3380CC4-5D6E-409C-BE32-E72D297353CC}">
              <c16:uniqueId val="{00000000-148E-4DA5-B228-8752CB8F78DF}"/>
            </c:ext>
          </c:extLst>
        </c:ser>
        <c:ser>
          <c:idx val="1"/>
          <c:order val="1"/>
          <c:tx>
            <c:strRef>
              <c:f>Analysis!$B$35</c:f>
              <c:strCache>
                <c:ptCount val="1"/>
                <c:pt idx="0">
                  <c:v>Sales</c:v>
                </c:pt>
              </c:strCache>
            </c:strRef>
          </c:tx>
          <c:spPr>
            <a:solidFill>
              <a:schemeClr val="accent2"/>
            </a:solidFill>
            <a:ln>
              <a:noFill/>
            </a:ln>
            <a:effectLst/>
          </c:spPr>
          <c:invertIfNegative val="0"/>
          <c:dLbls>
            <c:dLbl>
              <c:idx val="0"/>
              <c:layout>
                <c:manualLayout>
                  <c:x val="-2.5409731874634497E-17"/>
                  <c:y val="-0.190076827486570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8E-4DA5-B228-8752CB8F78DF}"/>
                </c:ext>
              </c:extLst>
            </c:dLbl>
            <c:dLbl>
              <c:idx val="1"/>
              <c:layout>
                <c:manualLayout>
                  <c:x val="-2.7720027720028228E-3"/>
                  <c:y val="-0.2348007868951756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8E-4DA5-B228-8752CB8F78DF}"/>
                </c:ext>
              </c:extLst>
            </c:dLbl>
            <c:dLbl>
              <c:idx val="2"/>
              <c:layout>
                <c:manualLayout>
                  <c:x val="0"/>
                  <c:y val="-0.2683437564516292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8E-4DA5-B228-8752CB8F78DF}"/>
                </c:ext>
              </c:extLst>
            </c:dLbl>
            <c:dLbl>
              <c:idx val="3"/>
              <c:layout>
                <c:manualLayout>
                  <c:x val="0"/>
                  <c:y val="-0.313067715860234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48E-4DA5-B228-8752CB8F78DF}"/>
                </c:ext>
              </c:extLst>
            </c:dLbl>
            <c:dLbl>
              <c:idx val="4"/>
              <c:layout>
                <c:manualLayout>
                  <c:x val="1.0163892749853799E-16"/>
                  <c:y val="-0.3577916752688389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48E-4DA5-B228-8752CB8F78D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Analysis!$B$36:$B$40</c:f>
              <c:numCache>
                <c:formatCode>#,#00</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1-148E-4DA5-B228-8752CB8F78DF}"/>
            </c:ext>
          </c:extLst>
        </c:ser>
        <c:dLbls>
          <c:dLblPos val="ctr"/>
          <c:showLegendKey val="0"/>
          <c:showVal val="1"/>
          <c:showCatName val="0"/>
          <c:showSerName val="0"/>
          <c:showPercent val="0"/>
          <c:showBubbleSize val="0"/>
        </c:dLbls>
        <c:gapWidth val="150"/>
        <c:overlap val="100"/>
        <c:axId val="464580848"/>
        <c:axId val="464579536"/>
      </c:barChart>
      <c:catAx>
        <c:axId val="464580848"/>
        <c:scaling>
          <c:orientation val="minMax"/>
        </c:scaling>
        <c:delete val="1"/>
        <c:axPos val="b"/>
        <c:majorTickMark val="none"/>
        <c:minorTickMark val="none"/>
        <c:tickLblPos val="nextTo"/>
        <c:crossAx val="464579536"/>
        <c:crosses val="autoZero"/>
        <c:auto val="1"/>
        <c:lblAlgn val="ctr"/>
        <c:lblOffset val="100"/>
        <c:noMultiLvlLbl val="0"/>
      </c:catAx>
      <c:valAx>
        <c:axId val="464579536"/>
        <c:scaling>
          <c:orientation val="minMax"/>
        </c:scaling>
        <c:delete val="1"/>
        <c:axPos val="l"/>
        <c:numFmt formatCode="General" sourceLinked="1"/>
        <c:majorTickMark val="none"/>
        <c:minorTickMark val="none"/>
        <c:tickLblPos val="nextTo"/>
        <c:crossAx val="46458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4.xlsx]Analysis!PivotTable8</c:name>
    <c:fmtId val="16"/>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Social</a:t>
            </a:r>
            <a:r>
              <a:rPr lang="en-US" sz="1200" b="1" baseline="0"/>
              <a:t> media programs by account type </a:t>
            </a:r>
            <a:endParaRPr lang="en-US" sz="1200" b="1"/>
          </a:p>
        </c:rich>
      </c:tx>
      <c:layout>
        <c:manualLayout>
          <c:xMode val="edge"/>
          <c:yMode val="edge"/>
          <c:x val="0.16496742921062443"/>
          <c:y val="4.629629629629629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19794354396508235"/>
          <c:y val="0.23374562554680664"/>
          <c:w val="0.59094480877912536"/>
          <c:h val="0.73662911927675701"/>
        </c:manualLayout>
      </c:layout>
      <c:doughnutChart>
        <c:varyColors val="1"/>
        <c:ser>
          <c:idx val="0"/>
          <c:order val="0"/>
          <c:tx>
            <c:strRef>
              <c:f>Analysis!$B$44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DB-4517-B042-1144A721BC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DB-4517-B042-1144A721BC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DB-4517-B042-1144A721BC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DB-4517-B042-1144A721BC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0C-49CE-870E-13E9F708D2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Analysis!$A$45:$A$50</c:f>
              <c:strCache>
                <c:ptCount val="5"/>
                <c:pt idx="0">
                  <c:v>(blank)</c:v>
                </c:pt>
                <c:pt idx="1">
                  <c:v>Wholesale Distributor</c:v>
                </c:pt>
                <c:pt idx="2">
                  <c:v>Small Business</c:v>
                </c:pt>
                <c:pt idx="3">
                  <c:v>Online Retailer</c:v>
                </c:pt>
                <c:pt idx="4">
                  <c:v>Medium Business</c:v>
                </c:pt>
              </c:strCache>
            </c:strRef>
          </c:cat>
          <c:val>
            <c:numRef>
              <c:f>Analysis!$B$45:$B$50</c:f>
              <c:numCache>
                <c:formatCode>#,000</c:formatCode>
                <c:ptCount val="5"/>
                <c:pt idx="1">
                  <c:v>15</c:v>
                </c:pt>
                <c:pt idx="2">
                  <c:v>15</c:v>
                </c:pt>
                <c:pt idx="3">
                  <c:v>15</c:v>
                </c:pt>
                <c:pt idx="4">
                  <c:v>15</c:v>
                </c:pt>
              </c:numCache>
            </c:numRef>
          </c:val>
          <c:extLst>
            <c:ext xmlns:c16="http://schemas.microsoft.com/office/drawing/2014/chart" uri="{C3380CC4-5D6E-409C-BE32-E72D297353CC}">
              <c16:uniqueId val="{00000000-41BD-48C0-B5A1-2B98D7379F6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 % by Account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34733158355206"/>
          <c:y val="0.18097222222222226"/>
          <c:w val="0.47231911636045493"/>
          <c:h val="0.78199074074074071"/>
        </c:manualLayout>
      </c:layout>
      <c:pieChart>
        <c:varyColors val="1"/>
        <c:ser>
          <c:idx val="0"/>
          <c:order val="0"/>
          <c:tx>
            <c:strRef>
              <c:f>Analysis!$B$65</c:f>
              <c:strCache>
                <c:ptCount val="1"/>
                <c:pt idx="0">
                  <c:v>14,80,848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C1-462A-90AB-182C899433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C1-462A-90AB-182C899433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C1-462A-90AB-182C899433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8C1-462A-90AB-182C899433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Analysis!$A$66:$A$69</c:f>
              <c:strCache>
                <c:ptCount val="4"/>
                <c:pt idx="0">
                  <c:v>Wholesale Distributor</c:v>
                </c:pt>
                <c:pt idx="1">
                  <c:v>Small Business</c:v>
                </c:pt>
                <c:pt idx="2">
                  <c:v>Online Retailer</c:v>
                </c:pt>
                <c:pt idx="3">
                  <c:v>Medium Business</c:v>
                </c:pt>
              </c:strCache>
            </c:strRef>
          </c:cat>
          <c:val>
            <c:numRef>
              <c:f>Analysis!$B$66:$B$69</c:f>
              <c:numCache>
                <c:formatCode>#,#00</c:formatCode>
                <c:ptCount val="4"/>
                <c:pt idx="0">
                  <c:v>348942</c:v>
                </c:pt>
                <c:pt idx="1">
                  <c:v>342823</c:v>
                </c:pt>
                <c:pt idx="2">
                  <c:v>408515</c:v>
                </c:pt>
                <c:pt idx="3">
                  <c:v>380568</c:v>
                </c:pt>
              </c:numCache>
            </c:numRef>
          </c:val>
          <c:extLst>
            <c:ext xmlns:c16="http://schemas.microsoft.com/office/drawing/2014/chart" uri="{C3380CC4-5D6E-409C-BE32-E72D297353CC}">
              <c16:uniqueId val="{00000000-8A31-42AE-8E7F-E018ADAA41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66111111111111109"/>
          <c:y val="0.29687445319335076"/>
          <c:w val="0.32777777777777778"/>
          <c:h val="0.52256999125109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4.xlsx]Analysis!PivotTable12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Decision makers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Analysis!$A$83:$A$88</c:f>
              <c:strCache>
                <c:ptCount val="5"/>
                <c:pt idx="0">
                  <c:v>Roy McGlynn</c:v>
                </c:pt>
                <c:pt idx="1">
                  <c:v>Dan Hill</c:v>
                </c:pt>
                <c:pt idx="2">
                  <c:v>Henry Lange</c:v>
                </c:pt>
                <c:pt idx="3">
                  <c:v>Janie Roberson</c:v>
                </c:pt>
                <c:pt idx="4">
                  <c:v>Julie Ross</c:v>
                </c:pt>
              </c:strCache>
            </c:strRef>
          </c:cat>
          <c:val>
            <c:numRef>
              <c:f>Analysis!$B$83:$B$88</c:f>
              <c:numCache>
                <c:formatCode>#,000</c:formatCode>
                <c:ptCount val="5"/>
                <c:pt idx="0">
                  <c:v>32872</c:v>
                </c:pt>
                <c:pt idx="1">
                  <c:v>34686</c:v>
                </c:pt>
                <c:pt idx="2">
                  <c:v>36951</c:v>
                </c:pt>
                <c:pt idx="3">
                  <c:v>39331</c:v>
                </c:pt>
                <c:pt idx="4">
                  <c:v>39413</c:v>
                </c:pt>
              </c:numCache>
            </c:numRef>
          </c:val>
          <c:extLst>
            <c:ext xmlns:c16="http://schemas.microsoft.com/office/drawing/2014/chart" uri="{C3380CC4-5D6E-409C-BE32-E72D297353CC}">
              <c16:uniqueId val="{00000000-C1A1-402A-B9EA-8C720C1456BF}"/>
            </c:ext>
          </c:extLst>
        </c:ser>
        <c:dLbls>
          <c:dLblPos val="inEnd"/>
          <c:showLegendKey val="0"/>
          <c:showVal val="1"/>
          <c:showCatName val="0"/>
          <c:showSerName val="0"/>
          <c:showPercent val="0"/>
          <c:showBubbleSize val="0"/>
        </c:dLbls>
        <c:gapWidth val="150"/>
        <c:overlap val="100"/>
        <c:axId val="571436864"/>
        <c:axId val="571441784"/>
      </c:barChart>
      <c:catAx>
        <c:axId val="57143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41784"/>
        <c:crosses val="autoZero"/>
        <c:auto val="1"/>
        <c:lblAlgn val="ctr"/>
        <c:lblOffset val="100"/>
        <c:noMultiLvlLbl val="0"/>
      </c:catAx>
      <c:valAx>
        <c:axId val="5714417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43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4.xlsx]Analysis!PivotTable5</c:name>
    <c:fmtId val="17"/>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IN" sz="1600" b="1" i="0" baseline="0">
                <a:solidFill>
                  <a:schemeClr val="accent1">
                    <a:lumMod val="75000"/>
                  </a:schemeClr>
                </a:solidFill>
                <a:effectLst/>
              </a:rPr>
              <a:t>Sales value over time</a:t>
            </a:r>
            <a:endParaRPr lang="en-IN" sz="1600">
              <a:solidFill>
                <a:schemeClr val="accent1">
                  <a:lumMod val="75000"/>
                </a:schemeClr>
              </a:solidFill>
              <a:effectLst/>
            </a:endParaRPr>
          </a:p>
        </c:rich>
      </c:tx>
      <c:layout>
        <c:manualLayout>
          <c:xMode val="edge"/>
          <c:yMode val="edge"/>
          <c:x val="0.28009011373578308"/>
          <c:y val="1.851851851851851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
        <c:spPr>
          <a:ln w="28575" cap="rnd">
            <a:solidFill>
              <a:srgbClr val="00B050"/>
            </a:solidFill>
            <a:round/>
          </a:ln>
          <a:effectLst/>
        </c:spPr>
        <c:marker>
          <c:symbol val="circle"/>
          <c:size val="5"/>
          <c:spPr>
            <a:solidFill>
              <a:srgbClr val="00B050"/>
            </a:solidFill>
            <a:ln w="9525">
              <a:noFill/>
            </a:ln>
            <a:effectLst/>
          </c:spPr>
        </c:marker>
      </c:pivotFmt>
      <c:pivotFmt>
        <c:idx val="10"/>
        <c:spPr>
          <a:ln w="28575" cap="rnd">
            <a:solidFill>
              <a:srgbClr val="FF0000"/>
            </a:solidFill>
            <a:round/>
          </a:ln>
          <a:effectLst/>
        </c:spPr>
        <c:marker>
          <c:symbol val="circle"/>
          <c:size val="5"/>
          <c:spPr>
            <a:solidFill>
              <a:srgbClr val="FF0000"/>
            </a:solidFill>
            <a:ln w="9525">
              <a:noFill/>
            </a:ln>
            <a:effectLst/>
          </c:spPr>
        </c:marker>
      </c:pivotFmt>
      <c:pivotFmt>
        <c:idx val="11"/>
        <c:spPr>
          <a:ln w="28575" cap="rnd">
            <a:solidFill>
              <a:schemeClr val="accent2"/>
            </a:solidFill>
            <a:round/>
          </a:ln>
          <a:effectLst/>
        </c:spPr>
        <c:marker>
          <c:symbol val="circle"/>
          <c:size val="5"/>
          <c:spPr>
            <a:solidFill>
              <a:schemeClr val="accent2"/>
            </a:solidFill>
            <a:ln w="9525">
              <a:no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4360892388451446"/>
          <c:y val="0.33333333333333331"/>
          <c:w val="0.83657042869641296"/>
          <c:h val="0.55007728200641581"/>
        </c:manualLayout>
      </c:layout>
      <c:lineChart>
        <c:grouping val="standard"/>
        <c:varyColors val="0"/>
        <c:ser>
          <c:idx val="0"/>
          <c:order val="0"/>
          <c:tx>
            <c:strRef>
              <c:f>Analysis!$B$28:$B$29</c:f>
              <c:strCache>
                <c:ptCount val="1"/>
                <c:pt idx="0">
                  <c:v>(blank)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Analysis!$A$30:$A$34</c:f>
              <c:strCache>
                <c:ptCount val="5"/>
                <c:pt idx="0">
                  <c:v>-2017</c:v>
                </c:pt>
                <c:pt idx="1">
                  <c:v>-2018</c:v>
                </c:pt>
                <c:pt idx="2">
                  <c:v>-2019</c:v>
                </c:pt>
                <c:pt idx="3">
                  <c:v>-2020</c:v>
                </c:pt>
                <c:pt idx="4">
                  <c:v>-2021</c:v>
                </c:pt>
              </c:strCache>
            </c:strRef>
          </c:cat>
          <c:val>
            <c:numRef>
              <c:f>Analysis!$B$30:$B$34</c:f>
              <c:numCache>
                <c:formatCode>General</c:formatCode>
                <c:ptCount val="5"/>
              </c:numCache>
            </c:numRef>
          </c:val>
          <c:smooth val="0"/>
          <c:extLst>
            <c:ext xmlns:c16="http://schemas.microsoft.com/office/drawing/2014/chart" uri="{C3380CC4-5D6E-409C-BE32-E72D297353CC}">
              <c16:uniqueId val="{00000000-7E13-4B6D-A474-4F17BFF89801}"/>
            </c:ext>
          </c:extLst>
        </c:ser>
        <c:ser>
          <c:idx val="1"/>
          <c:order val="1"/>
          <c:tx>
            <c:strRef>
              <c:f>Analysis!$C$28:$C$29</c:f>
              <c:strCache>
                <c:ptCount val="1"/>
                <c:pt idx="0">
                  <c:v>Wholesale Distributor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Analysis!$A$30:$A$34</c:f>
              <c:strCache>
                <c:ptCount val="5"/>
                <c:pt idx="0">
                  <c:v>-2017</c:v>
                </c:pt>
                <c:pt idx="1">
                  <c:v>-2018</c:v>
                </c:pt>
                <c:pt idx="2">
                  <c:v>-2019</c:v>
                </c:pt>
                <c:pt idx="3">
                  <c:v>-2020</c:v>
                </c:pt>
                <c:pt idx="4">
                  <c:v>-2021</c:v>
                </c:pt>
              </c:strCache>
            </c:strRef>
          </c:cat>
          <c:val>
            <c:numRef>
              <c:f>Analysis!$C$30:$C$34</c:f>
              <c:numCache>
                <c:formatCode>#,#00</c:formatCode>
                <c:ptCount val="5"/>
                <c:pt idx="0">
                  <c:v>44888</c:v>
                </c:pt>
                <c:pt idx="1">
                  <c:v>50567</c:v>
                </c:pt>
                <c:pt idx="2">
                  <c:v>70312</c:v>
                </c:pt>
                <c:pt idx="3">
                  <c:v>82583</c:v>
                </c:pt>
                <c:pt idx="4">
                  <c:v>100592</c:v>
                </c:pt>
              </c:numCache>
            </c:numRef>
          </c:val>
          <c:smooth val="0"/>
          <c:extLst>
            <c:ext xmlns:c16="http://schemas.microsoft.com/office/drawing/2014/chart" uri="{C3380CC4-5D6E-409C-BE32-E72D297353CC}">
              <c16:uniqueId val="{0000000C-AD54-4EBA-8A60-397ACCD6D452}"/>
            </c:ext>
          </c:extLst>
        </c:ser>
        <c:ser>
          <c:idx val="2"/>
          <c:order val="2"/>
          <c:tx>
            <c:strRef>
              <c:f>Analysis!$D$28:$D$29</c:f>
              <c:strCache>
                <c:ptCount val="1"/>
                <c:pt idx="0">
                  <c:v>Small Business</c:v>
                </c:pt>
              </c:strCache>
            </c:strRef>
          </c:tx>
          <c:spPr>
            <a:ln w="28575" cap="rnd">
              <a:solidFill>
                <a:srgbClr val="00B050"/>
              </a:solidFill>
              <a:round/>
            </a:ln>
            <a:effectLst/>
          </c:spPr>
          <c:marker>
            <c:symbol val="circle"/>
            <c:size val="5"/>
            <c:spPr>
              <a:solidFill>
                <a:srgbClr val="00B050"/>
              </a:solidFill>
              <a:ln w="9525">
                <a:noFill/>
              </a:ln>
              <a:effectLst/>
            </c:spPr>
          </c:marker>
          <c:cat>
            <c:strRef>
              <c:f>Analysis!$A$30:$A$34</c:f>
              <c:strCache>
                <c:ptCount val="5"/>
                <c:pt idx="0">
                  <c:v>-2017</c:v>
                </c:pt>
                <c:pt idx="1">
                  <c:v>-2018</c:v>
                </c:pt>
                <c:pt idx="2">
                  <c:v>-2019</c:v>
                </c:pt>
                <c:pt idx="3">
                  <c:v>-2020</c:v>
                </c:pt>
                <c:pt idx="4">
                  <c:v>-2021</c:v>
                </c:pt>
              </c:strCache>
            </c:strRef>
          </c:cat>
          <c:val>
            <c:numRef>
              <c:f>Analysis!$D$30:$D$34</c:f>
              <c:numCache>
                <c:formatCode>#,#00</c:formatCode>
                <c:ptCount val="5"/>
                <c:pt idx="0">
                  <c:v>51804</c:v>
                </c:pt>
                <c:pt idx="1">
                  <c:v>60121</c:v>
                </c:pt>
                <c:pt idx="2">
                  <c:v>60760</c:v>
                </c:pt>
                <c:pt idx="3">
                  <c:v>75991</c:v>
                </c:pt>
                <c:pt idx="4">
                  <c:v>94147</c:v>
                </c:pt>
              </c:numCache>
            </c:numRef>
          </c:val>
          <c:smooth val="0"/>
          <c:extLst>
            <c:ext xmlns:c16="http://schemas.microsoft.com/office/drawing/2014/chart" uri="{C3380CC4-5D6E-409C-BE32-E72D297353CC}">
              <c16:uniqueId val="{0000000D-AD54-4EBA-8A60-397ACCD6D452}"/>
            </c:ext>
          </c:extLst>
        </c:ser>
        <c:ser>
          <c:idx val="3"/>
          <c:order val="3"/>
          <c:tx>
            <c:strRef>
              <c:f>Analysis!$E$28:$E$29</c:f>
              <c:strCache>
                <c:ptCount val="1"/>
                <c:pt idx="0">
                  <c:v>Online Retailer</c:v>
                </c:pt>
              </c:strCache>
            </c:strRef>
          </c:tx>
          <c:spPr>
            <a:ln w="28575" cap="rnd">
              <a:solidFill>
                <a:srgbClr val="FF0000"/>
              </a:solidFill>
              <a:round/>
            </a:ln>
            <a:effectLst/>
          </c:spPr>
          <c:marker>
            <c:symbol val="circle"/>
            <c:size val="5"/>
            <c:spPr>
              <a:solidFill>
                <a:srgbClr val="FF0000"/>
              </a:solidFill>
              <a:ln w="9525">
                <a:noFill/>
              </a:ln>
              <a:effectLst/>
            </c:spPr>
          </c:marker>
          <c:cat>
            <c:strRef>
              <c:f>Analysis!$A$30:$A$34</c:f>
              <c:strCache>
                <c:ptCount val="5"/>
                <c:pt idx="0">
                  <c:v>-2017</c:v>
                </c:pt>
                <c:pt idx="1">
                  <c:v>-2018</c:v>
                </c:pt>
                <c:pt idx="2">
                  <c:v>-2019</c:v>
                </c:pt>
                <c:pt idx="3">
                  <c:v>-2020</c:v>
                </c:pt>
                <c:pt idx="4">
                  <c:v>-2021</c:v>
                </c:pt>
              </c:strCache>
            </c:strRef>
          </c:cat>
          <c:val>
            <c:numRef>
              <c:f>Analysis!$E$30:$E$34</c:f>
              <c:numCache>
                <c:formatCode>#,#00</c:formatCode>
                <c:ptCount val="5"/>
                <c:pt idx="0">
                  <c:v>47259</c:v>
                </c:pt>
                <c:pt idx="1">
                  <c:v>67275</c:v>
                </c:pt>
                <c:pt idx="2">
                  <c:v>79646</c:v>
                </c:pt>
                <c:pt idx="3">
                  <c:v>102065</c:v>
                </c:pt>
                <c:pt idx="4">
                  <c:v>112270</c:v>
                </c:pt>
              </c:numCache>
            </c:numRef>
          </c:val>
          <c:smooth val="0"/>
          <c:extLst>
            <c:ext xmlns:c16="http://schemas.microsoft.com/office/drawing/2014/chart" uri="{C3380CC4-5D6E-409C-BE32-E72D297353CC}">
              <c16:uniqueId val="{0000000E-AD54-4EBA-8A60-397ACCD6D452}"/>
            </c:ext>
          </c:extLst>
        </c:ser>
        <c:ser>
          <c:idx val="4"/>
          <c:order val="4"/>
          <c:tx>
            <c:strRef>
              <c:f>Analysis!$F$28:$F$29</c:f>
              <c:strCache>
                <c:ptCount val="1"/>
                <c:pt idx="0">
                  <c:v>Medium Business</c:v>
                </c:pt>
              </c:strCache>
            </c:strRef>
          </c:tx>
          <c:spPr>
            <a:ln w="28575" cap="rnd">
              <a:solidFill>
                <a:schemeClr val="accent2"/>
              </a:solidFill>
              <a:round/>
            </a:ln>
            <a:effectLst/>
          </c:spPr>
          <c:marker>
            <c:symbol val="circle"/>
            <c:size val="5"/>
            <c:spPr>
              <a:solidFill>
                <a:schemeClr val="accent2"/>
              </a:solidFill>
              <a:ln w="9525">
                <a:noFill/>
              </a:ln>
              <a:effectLst/>
            </c:spPr>
          </c:marker>
          <c:cat>
            <c:strRef>
              <c:f>Analysis!$A$30:$A$34</c:f>
              <c:strCache>
                <c:ptCount val="5"/>
                <c:pt idx="0">
                  <c:v>-2017</c:v>
                </c:pt>
                <c:pt idx="1">
                  <c:v>-2018</c:v>
                </c:pt>
                <c:pt idx="2">
                  <c:v>-2019</c:v>
                </c:pt>
                <c:pt idx="3">
                  <c:v>-2020</c:v>
                </c:pt>
                <c:pt idx="4">
                  <c:v>-2021</c:v>
                </c:pt>
              </c:strCache>
            </c:strRef>
          </c:cat>
          <c:val>
            <c:numRef>
              <c:f>Analysis!$F$30:$F$34</c:f>
              <c:numCache>
                <c:formatCode>#,#00</c:formatCode>
                <c:ptCount val="5"/>
                <c:pt idx="0">
                  <c:v>46025</c:v>
                </c:pt>
                <c:pt idx="1">
                  <c:v>65032</c:v>
                </c:pt>
                <c:pt idx="2">
                  <c:v>77731</c:v>
                </c:pt>
                <c:pt idx="3">
                  <c:v>89595</c:v>
                </c:pt>
                <c:pt idx="4">
                  <c:v>102185</c:v>
                </c:pt>
              </c:numCache>
            </c:numRef>
          </c:val>
          <c:smooth val="0"/>
          <c:extLst>
            <c:ext xmlns:c16="http://schemas.microsoft.com/office/drawing/2014/chart" uri="{C3380CC4-5D6E-409C-BE32-E72D297353CC}">
              <c16:uniqueId val="{0000000F-AD54-4EBA-8A60-397ACCD6D452}"/>
            </c:ext>
          </c:extLst>
        </c:ser>
        <c:dLbls>
          <c:showLegendKey val="0"/>
          <c:showVal val="0"/>
          <c:showCatName val="0"/>
          <c:showSerName val="0"/>
          <c:showPercent val="0"/>
          <c:showBubbleSize val="0"/>
        </c:dLbls>
        <c:marker val="1"/>
        <c:smooth val="0"/>
        <c:axId val="506761760"/>
        <c:axId val="506759792"/>
      </c:lineChart>
      <c:catAx>
        <c:axId val="50676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6759792"/>
        <c:crosses val="autoZero"/>
        <c:auto val="1"/>
        <c:lblAlgn val="ctr"/>
        <c:lblOffset val="100"/>
        <c:noMultiLvlLbl val="0"/>
      </c:catAx>
      <c:valAx>
        <c:axId val="50675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6761760"/>
        <c:crosses val="autoZero"/>
        <c:crossBetween val="between"/>
      </c:valAx>
      <c:spPr>
        <a:noFill/>
        <a:ln>
          <a:noFill/>
        </a:ln>
        <a:effectLst/>
      </c:spPr>
    </c:plotArea>
    <c:legend>
      <c:legendPos val="r"/>
      <c:layout>
        <c:manualLayout>
          <c:xMode val="edge"/>
          <c:yMode val="edge"/>
          <c:x val="0.1220657276995305"/>
          <c:y val="0.1342100727975041"/>
          <c:w val="0.82472613458528954"/>
          <c:h val="0.14780171346506216"/>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49220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IN" b="1">
                <a:solidFill>
                  <a:schemeClr val="accent1">
                    <a:lumMod val="75000"/>
                  </a:schemeClr>
                </a:solidFill>
              </a:rPr>
              <a:t>Yearly</a:t>
            </a:r>
            <a:r>
              <a:rPr lang="en-IN" b="1" baseline="0">
                <a:solidFill>
                  <a:schemeClr val="accent1">
                    <a:lumMod val="75000"/>
                  </a:schemeClr>
                </a:solidFill>
              </a:rPr>
              <a:t> sales value</a:t>
            </a:r>
            <a:endParaRPr lang="en-IN"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5.3247772302890427E-2"/>
          <c:y val="0.14138364779874213"/>
          <c:w val="0.91626019720507912"/>
          <c:h val="0.75239696924676869"/>
        </c:manualLayout>
      </c:layout>
      <c:barChart>
        <c:barDir val="col"/>
        <c:grouping val="stacked"/>
        <c:varyColors val="0"/>
        <c:ser>
          <c:idx val="0"/>
          <c:order val="0"/>
          <c:tx>
            <c:strRef>
              <c:f>Analysis!$A$35</c:f>
              <c:strCache>
                <c:ptCount val="1"/>
                <c:pt idx="0">
                  <c:v>Year </c:v>
                </c:pt>
              </c:strCache>
            </c:strRef>
          </c:tx>
          <c:spPr>
            <a:solidFill>
              <a:schemeClr val="accent1"/>
            </a:solidFill>
            <a:ln>
              <a:noFill/>
            </a:ln>
            <a:effectLst/>
          </c:spPr>
          <c:invertIfNegative val="0"/>
          <c:dLbls>
            <c:dLbl>
              <c:idx val="0"/>
              <c:layout>
                <c:manualLayout>
                  <c:x val="2.772002772002772E-3"/>
                  <c:y val="3.91334644825291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56-43D5-8D9C-B7AC43B00D86}"/>
                </c:ext>
              </c:extLst>
            </c:dLbl>
            <c:dLbl>
              <c:idx val="1"/>
              <c:layout>
                <c:manualLayout>
                  <c:x val="-5.0819463749268994E-17"/>
                  <c:y val="4.472395940860487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56-43D5-8D9C-B7AC43B00D86}"/>
                </c:ext>
              </c:extLst>
            </c:dLbl>
            <c:dLbl>
              <c:idx val="2"/>
              <c:layout>
                <c:manualLayout>
                  <c:x val="0"/>
                  <c:y val="4.47239594086047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56-43D5-8D9C-B7AC43B00D86}"/>
                </c:ext>
              </c:extLst>
            </c:dLbl>
            <c:dLbl>
              <c:idx val="3"/>
              <c:layout>
                <c:manualLayout>
                  <c:x val="-1.0163892749853799E-16"/>
                  <c:y val="3.913346448252936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56-43D5-8D9C-B7AC43B00D86}"/>
                </c:ext>
              </c:extLst>
            </c:dLbl>
            <c:dLbl>
              <c:idx val="4"/>
              <c:layout>
                <c:manualLayout>
                  <c:x val="-1.0163892749853799E-16"/>
                  <c:y val="3.91334644825291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56-43D5-8D9C-B7AC43B00D8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Analysis!$A$36:$A$40</c:f>
              <c:numCache>
                <c:formatCode>General</c:formatCode>
                <c:ptCount val="5"/>
                <c:pt idx="0">
                  <c:v>2017</c:v>
                </c:pt>
                <c:pt idx="1">
                  <c:v>2018</c:v>
                </c:pt>
                <c:pt idx="2">
                  <c:v>2019</c:v>
                </c:pt>
                <c:pt idx="3">
                  <c:v>2020</c:v>
                </c:pt>
                <c:pt idx="4">
                  <c:v>2021</c:v>
                </c:pt>
              </c:numCache>
            </c:numRef>
          </c:val>
          <c:extLst>
            <c:ext xmlns:c16="http://schemas.microsoft.com/office/drawing/2014/chart" uri="{C3380CC4-5D6E-409C-BE32-E72D297353CC}">
              <c16:uniqueId val="{00000005-B356-43D5-8D9C-B7AC43B00D86}"/>
            </c:ext>
          </c:extLst>
        </c:ser>
        <c:ser>
          <c:idx val="1"/>
          <c:order val="1"/>
          <c:tx>
            <c:strRef>
              <c:f>Analysis!$B$35</c:f>
              <c:strCache>
                <c:ptCount val="1"/>
                <c:pt idx="0">
                  <c:v>Sales</c:v>
                </c:pt>
              </c:strCache>
            </c:strRef>
          </c:tx>
          <c:spPr>
            <a:solidFill>
              <a:schemeClr val="accent2"/>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B356-43D5-8D9C-B7AC43B00D86}"/>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B356-43D5-8D9C-B7AC43B00D8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B356-43D5-8D9C-B7AC43B00D8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9-B356-43D5-8D9C-B7AC43B00D86}"/>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A-B356-43D5-8D9C-B7AC43B00D86}"/>
              </c:ext>
            </c:extLst>
          </c:dPt>
          <c:dLbls>
            <c:dLbl>
              <c:idx val="0"/>
              <c:layout>
                <c:manualLayout>
                  <c:x val="-2.5409731874634497E-17"/>
                  <c:y val="-0.190076827486570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56-43D5-8D9C-B7AC43B00D86}"/>
                </c:ext>
              </c:extLst>
            </c:dLbl>
            <c:dLbl>
              <c:idx val="1"/>
              <c:layout>
                <c:manualLayout>
                  <c:x val="-2.7720027720028228E-3"/>
                  <c:y val="-0.2348007868951756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56-43D5-8D9C-B7AC43B00D86}"/>
                </c:ext>
              </c:extLst>
            </c:dLbl>
            <c:dLbl>
              <c:idx val="2"/>
              <c:layout>
                <c:manualLayout>
                  <c:x val="-6.0483959612493701E-17"/>
                  <c:y val="-0.283438023077304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356-43D5-8D9C-B7AC43B00D86}"/>
                </c:ext>
              </c:extLst>
            </c:dLbl>
            <c:dLbl>
              <c:idx val="3"/>
              <c:layout>
                <c:manualLayout>
                  <c:x val="0"/>
                  <c:y val="-0.328162036349229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356-43D5-8D9C-B7AC43B00D86}"/>
                </c:ext>
              </c:extLst>
            </c:dLbl>
            <c:dLbl>
              <c:idx val="4"/>
              <c:layout>
                <c:manualLayout>
                  <c:x val="-1.209679192249874E-16"/>
                  <c:y val="-0.3728860496211558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356-43D5-8D9C-B7AC43B00D8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Analysis!$B$36:$B$40</c:f>
              <c:numCache>
                <c:formatCode>#,#00</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B-B356-43D5-8D9C-B7AC43B00D86}"/>
            </c:ext>
          </c:extLst>
        </c:ser>
        <c:dLbls>
          <c:dLblPos val="ctr"/>
          <c:showLegendKey val="0"/>
          <c:showVal val="1"/>
          <c:showCatName val="0"/>
          <c:showSerName val="0"/>
          <c:showPercent val="0"/>
          <c:showBubbleSize val="0"/>
        </c:dLbls>
        <c:gapWidth val="100"/>
        <c:overlap val="100"/>
        <c:axId val="464580848"/>
        <c:axId val="464579536"/>
      </c:barChart>
      <c:catAx>
        <c:axId val="464580848"/>
        <c:scaling>
          <c:orientation val="minMax"/>
        </c:scaling>
        <c:delete val="1"/>
        <c:axPos val="b"/>
        <c:majorTickMark val="none"/>
        <c:minorTickMark val="none"/>
        <c:tickLblPos val="nextTo"/>
        <c:crossAx val="464579536"/>
        <c:crosses val="autoZero"/>
        <c:auto val="1"/>
        <c:lblAlgn val="ctr"/>
        <c:lblOffset val="100"/>
        <c:noMultiLvlLbl val="0"/>
      </c:catAx>
      <c:valAx>
        <c:axId val="464579536"/>
        <c:scaling>
          <c:orientation val="minMax"/>
        </c:scaling>
        <c:delete val="1"/>
        <c:axPos val="l"/>
        <c:numFmt formatCode="General" sourceLinked="1"/>
        <c:majorTickMark val="none"/>
        <c:minorTickMark val="none"/>
        <c:tickLblPos val="nextTo"/>
        <c:crossAx val="46458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4.xlsx]Analysis!PivotTable8</c:name>
    <c:fmtId val="18"/>
  </c:pivotSource>
  <c:chart>
    <c:title>
      <c:tx>
        <c:rich>
          <a:bodyPr rot="0" spcFirstLastPara="1" vertOverflow="ellipsis" vert="horz" wrap="square" anchor="ctr" anchorCtr="1"/>
          <a:lstStyle/>
          <a:p>
            <a:pPr>
              <a:defRPr sz="1300" b="1" i="0" u="none" strike="noStrike" kern="1200" spc="0" baseline="0">
                <a:solidFill>
                  <a:schemeClr val="accent1">
                    <a:lumMod val="75000"/>
                  </a:schemeClr>
                </a:solidFill>
                <a:latin typeface="+mn-lt"/>
                <a:ea typeface="+mn-ea"/>
                <a:cs typeface="+mn-cs"/>
              </a:defRPr>
            </a:pPr>
            <a:r>
              <a:rPr lang="en-US" sz="1300" b="1">
                <a:solidFill>
                  <a:schemeClr val="accent1">
                    <a:lumMod val="75000"/>
                  </a:schemeClr>
                </a:solidFill>
              </a:rPr>
              <a:t>Social</a:t>
            </a:r>
            <a:r>
              <a:rPr lang="en-US" sz="1300" b="1" baseline="0">
                <a:solidFill>
                  <a:schemeClr val="accent1">
                    <a:lumMod val="75000"/>
                  </a:schemeClr>
                </a:solidFill>
              </a:rPr>
              <a:t> media programs by account type </a:t>
            </a:r>
            <a:endParaRPr lang="en-US" sz="1300" b="1">
              <a:solidFill>
                <a:schemeClr val="accent1">
                  <a:lumMod val="75000"/>
                </a:schemeClr>
              </a:solidFill>
            </a:endParaRPr>
          </a:p>
        </c:rich>
      </c:tx>
      <c:layout>
        <c:manualLayout>
          <c:xMode val="edge"/>
          <c:yMode val="edge"/>
          <c:x val="0.15621209337469316"/>
          <c:y val="3.6233546278413312E-2"/>
        </c:manualLayout>
      </c:layout>
      <c:overlay val="0"/>
      <c:spPr>
        <a:noFill/>
        <a:ln>
          <a:noFill/>
        </a:ln>
        <a:effectLst/>
      </c:spPr>
      <c:txPr>
        <a:bodyPr rot="0" spcFirstLastPara="1" vertOverflow="ellipsis" vert="horz" wrap="square" anchor="ctr" anchorCtr="1"/>
        <a:lstStyle/>
        <a:p>
          <a:pPr>
            <a:defRPr sz="13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492207"/>
          </a:solidFill>
          <a:ln w="19050">
            <a:noFill/>
          </a:ln>
          <a:effectLst/>
        </c:spPr>
        <c:dLbl>
          <c:idx val="0"/>
          <c:layout>
            <c:manualLayout>
              <c:x val="0.14446528369279601"/>
              <c:y val="-4.52830188679245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939335956068213"/>
                  <c:h val="0.23617610062893082"/>
                </c:manualLayout>
              </c15:layout>
            </c:ext>
          </c:extLst>
        </c:dLbl>
      </c:pivotFmt>
      <c:pivotFmt>
        <c:idx val="8"/>
        <c:spPr>
          <a:solidFill>
            <a:schemeClr val="accent1">
              <a:lumMod val="75000"/>
            </a:schemeClr>
          </a:solidFill>
          <a:ln w="19050">
            <a:noFill/>
          </a:ln>
          <a:effectLst/>
        </c:spPr>
        <c:dLbl>
          <c:idx val="0"/>
          <c:layout>
            <c:manualLayout>
              <c:x val="0.12695434021488144"/>
              <c:y val="4.02517704154905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150092914858554"/>
                  <c:h val="0.18090585846580498"/>
                </c:manualLayout>
              </c15:layout>
            </c:ext>
          </c:extLst>
        </c:dLbl>
      </c:pivotFmt>
      <c:pivotFmt>
        <c:idx val="9"/>
        <c:spPr>
          <a:solidFill>
            <a:schemeClr val="accent6">
              <a:lumMod val="75000"/>
            </a:schemeClr>
          </a:solidFill>
          <a:ln w="19050">
            <a:noFill/>
          </a:ln>
          <a:effectLst/>
        </c:spPr>
        <c:dLbl>
          <c:idx val="0"/>
          <c:layout>
            <c:manualLayout>
              <c:x val="-0.13570981195383869"/>
              <c:y val="3.522032387460992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454658203963196"/>
                  <c:h val="0.21109453771108799"/>
                </c:manualLayout>
              </c15:layout>
            </c:ext>
          </c:extLst>
        </c:dLbl>
      </c:pivotFmt>
      <c:pivotFmt>
        <c:idx val="10"/>
        <c:spPr>
          <a:solidFill>
            <a:srgbClr val="C00000"/>
          </a:solidFill>
          <a:ln w="19050">
            <a:noFill/>
          </a:ln>
          <a:effectLst/>
        </c:spPr>
        <c:dLbl>
          <c:idx val="0"/>
          <c:layout>
            <c:manualLayout>
              <c:x val="-0.13133207608436001"/>
              <c:y val="-3.52201257861635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noFill/>
          </a:ln>
          <a:effectLst/>
        </c:spPr>
      </c:pivotFmt>
    </c:pivotFmts>
    <c:plotArea>
      <c:layout>
        <c:manualLayout>
          <c:layoutTarget val="inner"/>
          <c:xMode val="edge"/>
          <c:yMode val="edge"/>
          <c:x val="0.19794354396508235"/>
          <c:y val="0.23374562554680664"/>
          <c:w val="0.59094480877912536"/>
          <c:h val="0.73662911927675701"/>
        </c:manualLayout>
      </c:layout>
      <c:doughnutChart>
        <c:varyColors val="1"/>
        <c:ser>
          <c:idx val="0"/>
          <c:order val="0"/>
          <c:tx>
            <c:strRef>
              <c:f>Analysis!$B$44</c:f>
              <c:strCache>
                <c:ptCount val="1"/>
                <c:pt idx="0">
                  <c:v>Total</c:v>
                </c:pt>
              </c:strCache>
            </c:strRef>
          </c:tx>
          <c:spPr>
            <a:ln>
              <a:noFill/>
            </a:ln>
          </c:spPr>
          <c:explosion val="2"/>
          <c:dPt>
            <c:idx val="0"/>
            <c:bubble3D val="0"/>
            <c:spPr>
              <a:solidFill>
                <a:schemeClr val="accent1"/>
              </a:solidFill>
              <a:ln w="19050">
                <a:noFill/>
              </a:ln>
              <a:effectLst/>
            </c:spPr>
            <c:extLst>
              <c:ext xmlns:c16="http://schemas.microsoft.com/office/drawing/2014/chart" uri="{C3380CC4-5D6E-409C-BE32-E72D297353CC}">
                <c16:uniqueId val="{00000001-E1E2-4A83-936A-3F80CCEEE6C1}"/>
              </c:ext>
            </c:extLst>
          </c:dPt>
          <c:dPt>
            <c:idx val="1"/>
            <c:bubble3D val="0"/>
            <c:spPr>
              <a:solidFill>
                <a:srgbClr val="492207"/>
              </a:solidFill>
              <a:ln w="19050">
                <a:noFill/>
              </a:ln>
              <a:effectLst/>
            </c:spPr>
            <c:extLst>
              <c:ext xmlns:c16="http://schemas.microsoft.com/office/drawing/2014/chart" uri="{C3380CC4-5D6E-409C-BE32-E72D297353CC}">
                <c16:uniqueId val="{00000003-E1E2-4A83-936A-3F80CCEEE6C1}"/>
              </c:ext>
            </c:extLst>
          </c:dPt>
          <c:dPt>
            <c:idx val="2"/>
            <c:bubble3D val="0"/>
            <c:spPr>
              <a:solidFill>
                <a:schemeClr val="accent1">
                  <a:lumMod val="75000"/>
                </a:schemeClr>
              </a:solidFill>
              <a:ln w="19050">
                <a:noFill/>
              </a:ln>
              <a:effectLst/>
            </c:spPr>
            <c:extLst>
              <c:ext xmlns:c16="http://schemas.microsoft.com/office/drawing/2014/chart" uri="{C3380CC4-5D6E-409C-BE32-E72D297353CC}">
                <c16:uniqueId val="{00000005-E1E2-4A83-936A-3F80CCEEE6C1}"/>
              </c:ext>
            </c:extLst>
          </c:dPt>
          <c:dPt>
            <c:idx val="3"/>
            <c:bubble3D val="0"/>
            <c:spPr>
              <a:solidFill>
                <a:schemeClr val="accent6">
                  <a:lumMod val="75000"/>
                </a:schemeClr>
              </a:solidFill>
              <a:ln w="19050">
                <a:noFill/>
              </a:ln>
              <a:effectLst/>
            </c:spPr>
            <c:extLst>
              <c:ext xmlns:c16="http://schemas.microsoft.com/office/drawing/2014/chart" uri="{C3380CC4-5D6E-409C-BE32-E72D297353CC}">
                <c16:uniqueId val="{00000007-E1E2-4A83-936A-3F80CCEEE6C1}"/>
              </c:ext>
            </c:extLst>
          </c:dPt>
          <c:dPt>
            <c:idx val="4"/>
            <c:bubble3D val="0"/>
            <c:spPr>
              <a:solidFill>
                <a:srgbClr val="C00000"/>
              </a:solidFill>
              <a:ln w="19050">
                <a:noFill/>
              </a:ln>
              <a:effectLst/>
            </c:spPr>
            <c:extLst>
              <c:ext xmlns:c16="http://schemas.microsoft.com/office/drawing/2014/chart" uri="{C3380CC4-5D6E-409C-BE32-E72D297353CC}">
                <c16:uniqueId val="{00000009-9D1A-437C-A305-CEF0560B2DE3}"/>
              </c:ext>
            </c:extLst>
          </c:dPt>
          <c:dLbls>
            <c:dLbl>
              <c:idx val="1"/>
              <c:layout>
                <c:manualLayout>
                  <c:x val="0.14446528369279601"/>
                  <c:y val="-4.5283018867924525E-2"/>
                </c:manualLayout>
              </c:layout>
              <c:showLegendKey val="0"/>
              <c:showVal val="0"/>
              <c:showCatName val="1"/>
              <c:showSerName val="0"/>
              <c:showPercent val="1"/>
              <c:showBubbleSize val="0"/>
              <c:extLst>
                <c:ext xmlns:c15="http://schemas.microsoft.com/office/drawing/2012/chart" uri="{CE6537A1-D6FC-4f65-9D91-7224C49458BB}">
                  <c15:layout>
                    <c:manualLayout>
                      <c:w val="0.22939335956068213"/>
                      <c:h val="0.23617610062893082"/>
                    </c:manualLayout>
                  </c15:layout>
                </c:ext>
                <c:ext xmlns:c16="http://schemas.microsoft.com/office/drawing/2014/chart" uri="{C3380CC4-5D6E-409C-BE32-E72D297353CC}">
                  <c16:uniqueId val="{00000003-E1E2-4A83-936A-3F80CCEEE6C1}"/>
                </c:ext>
              </c:extLst>
            </c:dLbl>
            <c:dLbl>
              <c:idx val="2"/>
              <c:layout>
                <c:manualLayout>
                  <c:x val="0.12695434021488144"/>
                  <c:y val="4.0251770415490516E-2"/>
                </c:manualLayout>
              </c:layout>
              <c:showLegendKey val="0"/>
              <c:showVal val="0"/>
              <c:showCatName val="1"/>
              <c:showSerName val="0"/>
              <c:showPercent val="1"/>
              <c:showBubbleSize val="0"/>
              <c:extLst>
                <c:ext xmlns:c15="http://schemas.microsoft.com/office/drawing/2012/chart" uri="{CE6537A1-D6FC-4f65-9D91-7224C49458BB}">
                  <c15:layout>
                    <c:manualLayout>
                      <c:w val="0.18150092914858554"/>
                      <c:h val="0.18090585846580498"/>
                    </c:manualLayout>
                  </c15:layout>
                </c:ext>
                <c:ext xmlns:c16="http://schemas.microsoft.com/office/drawing/2014/chart" uri="{C3380CC4-5D6E-409C-BE32-E72D297353CC}">
                  <c16:uniqueId val="{00000005-E1E2-4A83-936A-3F80CCEEE6C1}"/>
                </c:ext>
              </c:extLst>
            </c:dLbl>
            <c:dLbl>
              <c:idx val="3"/>
              <c:layout>
                <c:manualLayout>
                  <c:x val="-0.13570981195383869"/>
                  <c:y val="3.522032387460992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454658203963196"/>
                      <c:h val="0.21109453771108799"/>
                    </c:manualLayout>
                  </c15:layout>
                </c:ext>
                <c:ext xmlns:c16="http://schemas.microsoft.com/office/drawing/2014/chart" uri="{C3380CC4-5D6E-409C-BE32-E72D297353CC}">
                  <c16:uniqueId val="{00000007-E1E2-4A83-936A-3F80CCEEE6C1}"/>
                </c:ext>
              </c:extLst>
            </c:dLbl>
            <c:dLbl>
              <c:idx val="4"/>
              <c:layout>
                <c:manualLayout>
                  <c:x val="-0.13133207608436001"/>
                  <c:y val="-3.5220125786163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D1A-437C-A305-CEF0560B2DE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Analysis!$A$45:$A$50</c:f>
              <c:strCache>
                <c:ptCount val="5"/>
                <c:pt idx="0">
                  <c:v>(blank)</c:v>
                </c:pt>
                <c:pt idx="1">
                  <c:v>Wholesale Distributor</c:v>
                </c:pt>
                <c:pt idx="2">
                  <c:v>Small Business</c:v>
                </c:pt>
                <c:pt idx="3">
                  <c:v>Online Retailer</c:v>
                </c:pt>
                <c:pt idx="4">
                  <c:v>Medium Business</c:v>
                </c:pt>
              </c:strCache>
            </c:strRef>
          </c:cat>
          <c:val>
            <c:numRef>
              <c:f>Analysis!$B$45:$B$50</c:f>
              <c:numCache>
                <c:formatCode>#,000</c:formatCode>
                <c:ptCount val="5"/>
                <c:pt idx="1">
                  <c:v>15</c:v>
                </c:pt>
                <c:pt idx="2">
                  <c:v>15</c:v>
                </c:pt>
                <c:pt idx="3">
                  <c:v>15</c:v>
                </c:pt>
                <c:pt idx="4">
                  <c:v>15</c:v>
                </c:pt>
              </c:numCache>
            </c:numRef>
          </c:val>
          <c:extLst>
            <c:ext xmlns:c16="http://schemas.microsoft.com/office/drawing/2014/chart" uri="{C3380CC4-5D6E-409C-BE32-E72D297353CC}">
              <c16:uniqueId val="{00000008-E1E2-4A83-936A-3F80CCEEE6C1}"/>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IN" b="1">
                <a:solidFill>
                  <a:schemeClr val="accent1">
                    <a:lumMod val="75000"/>
                  </a:schemeClr>
                </a:solidFill>
              </a:rPr>
              <a:t>Sales % by Account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2.6812527514075112E-2"/>
          <c:y val="0.21615522018081074"/>
          <c:w val="0.61354441466728338"/>
          <c:h val="0.68384660250801987"/>
        </c:manualLayout>
      </c:layout>
      <c:pieChart>
        <c:varyColors val="1"/>
        <c:ser>
          <c:idx val="0"/>
          <c:order val="0"/>
          <c:tx>
            <c:strRef>
              <c:f>Analysis!$B$65</c:f>
              <c:strCache>
                <c:ptCount val="1"/>
                <c:pt idx="0">
                  <c:v>14,80,848</c:v>
                </c:pt>
              </c:strCache>
            </c:strRef>
          </c:tx>
          <c:spPr>
            <a:ln>
              <a:noFill/>
            </a:ln>
          </c:spPr>
          <c:explosion val="1"/>
          <c:dPt>
            <c:idx val="0"/>
            <c:bubble3D val="0"/>
            <c:spPr>
              <a:solidFill>
                <a:schemeClr val="accent1"/>
              </a:solidFill>
              <a:ln w="19050">
                <a:noFill/>
              </a:ln>
              <a:effectLst/>
            </c:spPr>
            <c:extLst>
              <c:ext xmlns:c16="http://schemas.microsoft.com/office/drawing/2014/chart" uri="{C3380CC4-5D6E-409C-BE32-E72D297353CC}">
                <c16:uniqueId val="{00000001-FC4C-4468-B6BE-0056F04E2BFE}"/>
              </c:ext>
            </c:extLst>
          </c:dPt>
          <c:dPt>
            <c:idx val="1"/>
            <c:bubble3D val="0"/>
            <c:spPr>
              <a:solidFill>
                <a:schemeClr val="accent2"/>
              </a:solidFill>
              <a:ln w="19050">
                <a:noFill/>
              </a:ln>
              <a:effectLst/>
            </c:spPr>
            <c:extLst>
              <c:ext xmlns:c16="http://schemas.microsoft.com/office/drawing/2014/chart" uri="{C3380CC4-5D6E-409C-BE32-E72D297353CC}">
                <c16:uniqueId val="{00000003-FC4C-4468-B6BE-0056F04E2BFE}"/>
              </c:ext>
            </c:extLst>
          </c:dPt>
          <c:dPt>
            <c:idx val="2"/>
            <c:bubble3D val="0"/>
            <c:spPr>
              <a:solidFill>
                <a:schemeClr val="accent3"/>
              </a:solidFill>
              <a:ln w="19050">
                <a:noFill/>
              </a:ln>
              <a:effectLst/>
            </c:spPr>
            <c:extLst>
              <c:ext xmlns:c16="http://schemas.microsoft.com/office/drawing/2014/chart" uri="{C3380CC4-5D6E-409C-BE32-E72D297353CC}">
                <c16:uniqueId val="{00000005-FC4C-4468-B6BE-0056F04E2BFE}"/>
              </c:ext>
            </c:extLst>
          </c:dPt>
          <c:dPt>
            <c:idx val="3"/>
            <c:bubble3D val="0"/>
            <c:spPr>
              <a:solidFill>
                <a:schemeClr val="accent4"/>
              </a:solidFill>
              <a:ln w="19050">
                <a:noFill/>
              </a:ln>
              <a:effectLst/>
            </c:spPr>
            <c:extLst>
              <c:ext xmlns:c16="http://schemas.microsoft.com/office/drawing/2014/chart" uri="{C3380CC4-5D6E-409C-BE32-E72D297353CC}">
                <c16:uniqueId val="{00000007-FC4C-4468-B6BE-0056F04E2BFE}"/>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1-FC4C-4468-B6BE-0056F04E2BF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Analysis!$A$66:$A$69</c:f>
              <c:strCache>
                <c:ptCount val="4"/>
                <c:pt idx="0">
                  <c:v>Wholesale Distributor</c:v>
                </c:pt>
                <c:pt idx="1">
                  <c:v>Small Business</c:v>
                </c:pt>
                <c:pt idx="2">
                  <c:v>Online Retailer</c:v>
                </c:pt>
                <c:pt idx="3">
                  <c:v>Medium Business</c:v>
                </c:pt>
              </c:strCache>
            </c:strRef>
          </c:cat>
          <c:val>
            <c:numRef>
              <c:f>Analysis!$B$66:$B$69</c:f>
              <c:numCache>
                <c:formatCode>#,#00</c:formatCode>
                <c:ptCount val="4"/>
                <c:pt idx="0">
                  <c:v>348942</c:v>
                </c:pt>
                <c:pt idx="1">
                  <c:v>342823</c:v>
                </c:pt>
                <c:pt idx="2">
                  <c:v>408515</c:v>
                </c:pt>
                <c:pt idx="3">
                  <c:v>380568</c:v>
                </c:pt>
              </c:numCache>
            </c:numRef>
          </c:val>
          <c:extLst>
            <c:ext xmlns:c16="http://schemas.microsoft.com/office/drawing/2014/chart" uri="{C3380CC4-5D6E-409C-BE32-E72D297353CC}">
              <c16:uniqueId val="{00000008-FC4C-4468-B6BE-0056F04E2BFE}"/>
            </c:ext>
          </c:extLst>
        </c:ser>
        <c:dLbls>
          <c:dLblPos val="bestFit"/>
          <c:showLegendKey val="0"/>
          <c:showVal val="1"/>
          <c:showCatName val="0"/>
          <c:showSerName val="0"/>
          <c:showPercent val="0"/>
          <c:showBubbleSize val="0"/>
          <c:showLeaderLines val="1"/>
        </c:dLbls>
        <c:firstSliceAng val="162"/>
      </c:pieChart>
      <c:spPr>
        <a:noFill/>
        <a:ln>
          <a:noFill/>
        </a:ln>
        <a:effectLst/>
      </c:spPr>
    </c:plotArea>
    <c:legend>
      <c:legendPos val="b"/>
      <c:layout>
        <c:manualLayout>
          <c:xMode val="edge"/>
          <c:yMode val="edge"/>
          <c:x val="0.6278814963470466"/>
          <c:y val="0.31539297171186942"/>
          <c:w val="0.36100723264495543"/>
          <c:h val="0.457755176436278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Top 10 Accounts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Accounts</a:t>
          </a:r>
        </a:p>
      </cx:txPr>
    </cx:title>
    <cx:plotArea>
      <cx:plotAreaRegion>
        <cx:series layoutId="treemap" uniqueId="{A048FD8C-0F3C-48EB-BB6E-7EC3A6CCE547}">
          <cx:tx>
            <cx:txData>
              <cx:f>_xlchart.v1.1</cx:f>
              <cx:v>Sales</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Top 10 Accounts</cx:v>
        </cx:txData>
      </cx:tx>
      <cx:txPr>
        <a:bodyPr spcFirstLastPara="1" vertOverflow="ellipsis" horzOverflow="overflow" wrap="square" lIns="0" tIns="0" rIns="0" bIns="0" anchor="ctr" anchorCtr="1"/>
        <a:lstStyle/>
        <a:p>
          <a:pPr algn="ctr" rtl="0">
            <a:defRPr b="1">
              <a:solidFill>
                <a:schemeClr val="accent1">
                  <a:lumMod val="75000"/>
                </a:schemeClr>
              </a:solidFill>
            </a:defRPr>
          </a:pPr>
          <a:r>
            <a:rPr lang="en-US" sz="1400" b="1" i="0" u="none" strike="noStrike" baseline="0">
              <a:solidFill>
                <a:schemeClr val="accent1">
                  <a:lumMod val="75000"/>
                </a:schemeClr>
              </a:solidFill>
              <a:latin typeface="Calibri" panose="020F0502020204030204"/>
            </a:rPr>
            <a:t>Top 10 Accounts</a:t>
          </a:r>
        </a:p>
      </cx:txPr>
    </cx:title>
    <cx:plotArea>
      <cx:plotAreaRegion>
        <cx:series layoutId="treemap" uniqueId="{A048FD8C-0F3C-48EB-BB6E-7EC3A6CCE547}">
          <cx:tx>
            <cx:txData>
              <cx:f>_xlchart.v1.4</cx:f>
              <cx:v>Sales</cx:v>
            </cx:txData>
          </cx:tx>
          <cx:dataLabels pos="inEnd">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visibility seriesName="0" categoryName="1" value="1"/>
            <cx:separator>
</cx:separator>
            <cx:dataLabel idx="6">
              <cx:txPr>
                <a:bodyPr spcFirstLastPara="1" vertOverflow="ellipsis" horzOverflow="overflow" wrap="square" lIns="0" tIns="0" rIns="0" bIns="0" anchor="ctr" anchorCtr="1"/>
                <a:lstStyle/>
                <a:p>
                  <a:pPr algn="ctr" rtl="0">
                    <a:defRPr>
                      <a:solidFill>
                        <a:schemeClr val="accent5">
                          <a:lumMod val="20000"/>
                          <a:lumOff val="80000"/>
                        </a:schemeClr>
                      </a:solidFill>
                    </a:defRPr>
                  </a:pPr>
                  <a:r>
                    <a:rPr lang="en-US" sz="900" b="1" i="0" u="none" strike="noStrike" baseline="0">
                      <a:solidFill>
                        <a:schemeClr val="accent5">
                          <a:lumMod val="20000"/>
                          <a:lumOff val="80000"/>
                        </a:schemeClr>
                      </a:solidFill>
                      <a:latin typeface="Calibri" panose="020F0502020204030204"/>
                    </a:rPr>
                    <a:t>SB 6
32,872</a:t>
                  </a:r>
                </a:p>
              </cx:txPr>
            </cx:dataLabel>
          </cx:dataLabels>
          <cx:dataId val="0"/>
          <cx:layoutPr>
            <cx:parentLabelLayout val="overlapping"/>
          </cx:layoutPr>
        </cx:series>
      </cx:plotAreaRegion>
    </cx:plotArea>
  </cx:chart>
  <cx:spPr>
    <a:solidFill>
      <a:schemeClr val="accent2">
        <a:lumMod val="20000"/>
        <a:lumOff val="8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openxmlformats.org/officeDocument/2006/relationships/image" Target="../media/image1.png"/><Relationship Id="rId12" Type="http://schemas.openxmlformats.org/officeDocument/2006/relationships/hyperlink" Target="http://sarapis.org/what-is-data-preparedness/" TargetMode="Externa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11" Type="http://schemas.openxmlformats.org/officeDocument/2006/relationships/image" Target="../media/image3.png"/><Relationship Id="rId5" Type="http://schemas.openxmlformats.org/officeDocument/2006/relationships/chart" Target="../charts/chart10.xml"/><Relationship Id="rId10" Type="http://schemas.openxmlformats.org/officeDocument/2006/relationships/hyperlink" Target="#Analysis!A1"/><Relationship Id="rId4" Type="http://schemas.openxmlformats.org/officeDocument/2006/relationships/chart" Target="../charts/chart9.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6</xdr:col>
      <xdr:colOff>304800</xdr:colOff>
      <xdr:row>12</xdr:row>
      <xdr:rowOff>71437</xdr:rowOff>
    </xdr:from>
    <xdr:to>
      <xdr:col>18</xdr:col>
      <xdr:colOff>390525</xdr:colOff>
      <xdr:row>26</xdr:row>
      <xdr:rowOff>147637</xdr:rowOff>
    </xdr:to>
    <xdr:graphicFrame macro="">
      <xdr:nvGraphicFramePr>
        <xdr:cNvPr id="3" name="Chart 2">
          <a:extLst>
            <a:ext uri="{FF2B5EF4-FFF2-40B4-BE49-F238E27FC236}">
              <a16:creationId xmlns:a16="http://schemas.microsoft.com/office/drawing/2014/main" id="{EF5122EF-23C1-43C9-A732-9EB320AD2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161925</xdr:colOff>
      <xdr:row>28</xdr:row>
      <xdr:rowOff>119062</xdr:rowOff>
    </xdr:from>
    <xdr:to>
      <xdr:col>18</xdr:col>
      <xdr:colOff>257175</xdr:colOff>
      <xdr:row>40</xdr:row>
      <xdr:rowOff>104775</xdr:rowOff>
    </xdr:to>
    <xdr:graphicFrame macro="">
      <xdr:nvGraphicFramePr>
        <xdr:cNvPr id="4" name="Chart 3">
          <a:extLst>
            <a:ext uri="{FF2B5EF4-FFF2-40B4-BE49-F238E27FC236}">
              <a16:creationId xmlns:a16="http://schemas.microsoft.com/office/drawing/2014/main" id="{8E913A3D-C960-45D9-8611-764415ADF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41</xdr:row>
      <xdr:rowOff>80962</xdr:rowOff>
    </xdr:from>
    <xdr:to>
      <xdr:col>10</xdr:col>
      <xdr:colOff>0</xdr:colOff>
      <xdr:row>55</xdr:row>
      <xdr:rowOff>157162</xdr:rowOff>
    </xdr:to>
    <xdr:graphicFrame macro="">
      <xdr:nvGraphicFramePr>
        <xdr:cNvPr id="5" name="Chart 4">
          <a:extLst>
            <a:ext uri="{FF2B5EF4-FFF2-40B4-BE49-F238E27FC236}">
              <a16:creationId xmlns:a16="http://schemas.microsoft.com/office/drawing/2014/main" id="{71A27E53-A90C-4912-BD8F-5F895A0DD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60</xdr:row>
      <xdr:rowOff>100012</xdr:rowOff>
    </xdr:from>
    <xdr:to>
      <xdr:col>10</xdr:col>
      <xdr:colOff>266700</xdr:colOff>
      <xdr:row>74</xdr:row>
      <xdr:rowOff>176212</xdr:rowOff>
    </xdr:to>
    <xdr:graphicFrame macro="">
      <xdr:nvGraphicFramePr>
        <xdr:cNvPr id="7" name="Chart 6">
          <a:extLst>
            <a:ext uri="{FF2B5EF4-FFF2-40B4-BE49-F238E27FC236}">
              <a16:creationId xmlns:a16="http://schemas.microsoft.com/office/drawing/2014/main" id="{73DA6E2F-5212-4D7A-A6BE-5111ECAC2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180975</xdr:colOff>
      <xdr:row>77</xdr:row>
      <xdr:rowOff>119062</xdr:rowOff>
    </xdr:from>
    <xdr:to>
      <xdr:col>8</xdr:col>
      <xdr:colOff>333375</xdr:colOff>
      <xdr:row>92</xdr:row>
      <xdr:rowOff>4762</xdr:rowOff>
    </xdr:to>
    <xdr:graphicFrame macro="">
      <xdr:nvGraphicFramePr>
        <xdr:cNvPr id="8" name="Chart 7">
          <a:extLst>
            <a:ext uri="{FF2B5EF4-FFF2-40B4-BE49-F238E27FC236}">
              <a16:creationId xmlns:a16="http://schemas.microsoft.com/office/drawing/2014/main" id="{43B4B634-7AFA-4136-BF62-56E558D8F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366712</xdr:colOff>
      <xdr:row>104</xdr:row>
      <xdr:rowOff>119062</xdr:rowOff>
    </xdr:from>
    <xdr:to>
      <xdr:col>7</xdr:col>
      <xdr:colOff>152400</xdr:colOff>
      <xdr:row>119</xdr:row>
      <xdr:rowOff>4762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F6C6086F-DED3-4B01-9AD5-8580433336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881312" y="19931062"/>
              <a:ext cx="4967288"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257175</xdr:colOff>
      <xdr:row>1</xdr:row>
      <xdr:rowOff>161925</xdr:rowOff>
    </xdr:from>
    <xdr:to>
      <xdr:col>9</xdr:col>
      <xdr:colOff>180975</xdr:colOff>
      <xdr:row>9</xdr:row>
      <xdr:rowOff>85725</xdr:rowOff>
    </xdr:to>
    <mc:AlternateContent xmlns:mc="http://schemas.openxmlformats.org/markup-compatibility/2006" xmlns:a14="http://schemas.microsoft.com/office/drawing/2010/main">
      <mc:Choice Requires="a14">
        <xdr:graphicFrame macro="">
          <xdr:nvGraphicFramePr>
            <xdr:cNvPr id="2" name="Account Type">
              <a:extLst>
                <a:ext uri="{FF2B5EF4-FFF2-40B4-BE49-F238E27FC236}">
                  <a16:creationId xmlns:a16="http://schemas.microsoft.com/office/drawing/2014/main" id="{72E18214-7F7C-4CD4-9778-6843C0463C2C}"/>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7200900" y="352425"/>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847725</xdr:colOff>
      <xdr:row>120</xdr:row>
      <xdr:rowOff>19050</xdr:rowOff>
    </xdr:from>
    <xdr:to>
      <xdr:col>3</xdr:col>
      <xdr:colOff>533400</xdr:colOff>
      <xdr:row>129</xdr:row>
      <xdr:rowOff>47625</xdr:rowOff>
    </xdr:to>
    <mc:AlternateContent xmlns:mc="http://schemas.openxmlformats.org/markup-compatibility/2006">
      <mc:Choice xmlns:a14="http://schemas.microsoft.com/office/drawing/2010/main" Requires="a14">
        <xdr:graphicFrame macro="">
          <xdr:nvGraphicFramePr>
            <xdr:cNvPr id="6" name="Year ">
              <a:extLst>
                <a:ext uri="{FF2B5EF4-FFF2-40B4-BE49-F238E27FC236}">
                  <a16:creationId xmlns:a16="http://schemas.microsoft.com/office/drawing/2014/main" id="{D6E1B38B-B001-41B7-8722-8657DA0D7A2F}"/>
                </a:ext>
              </a:extLst>
            </xdr:cNvPr>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dr:sp macro="" textlink="">
          <xdr:nvSpPr>
            <xdr:cNvPr id="0" name=""/>
            <xdr:cNvSpPr>
              <a:spLocks noTextEdit="1"/>
            </xdr:cNvSpPr>
          </xdr:nvSpPr>
          <xdr:spPr>
            <a:xfrm>
              <a:off x="2875990" y="22879050"/>
              <a:ext cx="1075204"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47624</xdr:rowOff>
    </xdr:from>
    <xdr:to>
      <xdr:col>5</xdr:col>
      <xdr:colOff>57151</xdr:colOff>
      <xdr:row>4</xdr:row>
      <xdr:rowOff>123825</xdr:rowOff>
    </xdr:to>
    <xdr:sp macro="" textlink="">
      <xdr:nvSpPr>
        <xdr:cNvPr id="2" name="Rectangle: Rounded Corners 1">
          <a:extLst>
            <a:ext uri="{FF2B5EF4-FFF2-40B4-BE49-F238E27FC236}">
              <a16:creationId xmlns:a16="http://schemas.microsoft.com/office/drawing/2014/main" id="{C0016804-63A2-4270-9EB8-BB23205E4B53}"/>
            </a:ext>
          </a:extLst>
        </xdr:cNvPr>
        <xdr:cNvSpPr/>
      </xdr:nvSpPr>
      <xdr:spPr>
        <a:xfrm>
          <a:off x="47625" y="47624"/>
          <a:ext cx="3057526" cy="838201"/>
        </a:xfrm>
        <a:prstGeom prst="roundRect">
          <a:avLst>
            <a:gd name="adj" fmla="val 0"/>
          </a:avLst>
        </a:prstGeom>
        <a:solidFill>
          <a:srgbClr val="EB6E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95250</xdr:colOff>
      <xdr:row>0</xdr:row>
      <xdr:rowOff>47624</xdr:rowOff>
    </xdr:from>
    <xdr:to>
      <xdr:col>20</xdr:col>
      <xdr:colOff>333374</xdr:colOff>
      <xdr:row>4</xdr:row>
      <xdr:rowOff>123825</xdr:rowOff>
    </xdr:to>
    <xdr:sp macro="" textlink="">
      <xdr:nvSpPr>
        <xdr:cNvPr id="3" name="Rectangle: Rounded Corners 2">
          <a:extLst>
            <a:ext uri="{FF2B5EF4-FFF2-40B4-BE49-F238E27FC236}">
              <a16:creationId xmlns:a16="http://schemas.microsoft.com/office/drawing/2014/main" id="{D5D8F4D3-0F64-42F9-A6CD-371C9D048F16}"/>
            </a:ext>
          </a:extLst>
        </xdr:cNvPr>
        <xdr:cNvSpPr/>
      </xdr:nvSpPr>
      <xdr:spPr>
        <a:xfrm>
          <a:off x="3143250" y="47624"/>
          <a:ext cx="9382124" cy="838201"/>
        </a:xfrm>
        <a:prstGeom prst="roundRect">
          <a:avLst>
            <a:gd name="adj"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xdr:colOff>
      <xdr:row>0</xdr:row>
      <xdr:rowOff>47626</xdr:rowOff>
    </xdr:from>
    <xdr:to>
      <xdr:col>5</xdr:col>
      <xdr:colOff>57149</xdr:colOff>
      <xdr:row>4</xdr:row>
      <xdr:rowOff>114300</xdr:rowOff>
    </xdr:to>
    <xdr:sp macro="" textlink="">
      <xdr:nvSpPr>
        <xdr:cNvPr id="4" name="TextBox 3">
          <a:extLst>
            <a:ext uri="{FF2B5EF4-FFF2-40B4-BE49-F238E27FC236}">
              <a16:creationId xmlns:a16="http://schemas.microsoft.com/office/drawing/2014/main" id="{464EB822-CFA8-4EF5-A56C-2E4D39B4A4FF}"/>
            </a:ext>
          </a:extLst>
        </xdr:cNvPr>
        <xdr:cNvSpPr txBox="1"/>
      </xdr:nvSpPr>
      <xdr:spPr>
        <a:xfrm>
          <a:off x="47625" y="47626"/>
          <a:ext cx="3057524" cy="828674"/>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600">
              <a:solidFill>
                <a:schemeClr val="accent1">
                  <a:lumMod val="75000"/>
                </a:schemeClr>
              </a:solidFill>
              <a:latin typeface="Britannic Bold" panose="020B0903060703020204" pitchFamily="34" charset="0"/>
            </a:rPr>
            <a:t>Account Sales Dashboard</a:t>
          </a:r>
        </a:p>
      </xdr:txBody>
    </xdr:sp>
    <xdr:clientData/>
  </xdr:twoCellAnchor>
  <xdr:twoCellAnchor>
    <xdr:from>
      <xdr:col>5</xdr:col>
      <xdr:colOff>164541</xdr:colOff>
      <xdr:row>0</xdr:row>
      <xdr:rowOff>104774</xdr:rowOff>
    </xdr:from>
    <xdr:to>
      <xdr:col>8</xdr:col>
      <xdr:colOff>95250</xdr:colOff>
      <xdr:row>4</xdr:row>
      <xdr:rowOff>66676</xdr:rowOff>
    </xdr:to>
    <xdr:grpSp>
      <xdr:nvGrpSpPr>
        <xdr:cNvPr id="7" name="Group 6">
          <a:extLst>
            <a:ext uri="{FF2B5EF4-FFF2-40B4-BE49-F238E27FC236}">
              <a16:creationId xmlns:a16="http://schemas.microsoft.com/office/drawing/2014/main" id="{233A00B6-FEF0-47F9-8555-833EA9E218D8}"/>
            </a:ext>
          </a:extLst>
        </xdr:cNvPr>
        <xdr:cNvGrpSpPr/>
      </xdr:nvGrpSpPr>
      <xdr:grpSpPr>
        <a:xfrm>
          <a:off x="3212541" y="104774"/>
          <a:ext cx="1759509" cy="723902"/>
          <a:chOff x="3212541" y="104774"/>
          <a:chExt cx="1807134" cy="723902"/>
        </a:xfrm>
        <a:solidFill>
          <a:schemeClr val="accent1">
            <a:lumMod val="75000"/>
          </a:schemeClr>
        </a:solidFill>
      </xdr:grpSpPr>
      <xdr:sp macro="" textlink="">
        <xdr:nvSpPr>
          <xdr:cNvPr id="8" name="Arrow: Chevron 7">
            <a:extLst>
              <a:ext uri="{FF2B5EF4-FFF2-40B4-BE49-F238E27FC236}">
                <a16:creationId xmlns:a16="http://schemas.microsoft.com/office/drawing/2014/main" id="{79EA9651-298B-447F-ABA3-D3CC08F7B575}"/>
              </a:ext>
            </a:extLst>
          </xdr:cNvPr>
          <xdr:cNvSpPr/>
        </xdr:nvSpPr>
        <xdr:spPr>
          <a:xfrm>
            <a:off x="3212541" y="104774"/>
            <a:ext cx="1628841" cy="638175"/>
          </a:xfrm>
          <a:prstGeom prst="chevron">
            <a:avLst>
              <a:gd name="adj" fmla="val 40000"/>
            </a:avLst>
          </a:prstGeom>
          <a:grpFill/>
          <a:ln>
            <a:noFill/>
          </a:ln>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sp>
      <xdr:sp macro="" textlink="">
        <xdr:nvSpPr>
          <xdr:cNvPr id="9" name="Freeform: Shape 8">
            <a:extLst>
              <a:ext uri="{FF2B5EF4-FFF2-40B4-BE49-F238E27FC236}">
                <a16:creationId xmlns:a16="http://schemas.microsoft.com/office/drawing/2014/main" id="{562D25B9-45FB-4094-82B3-0007DBC81433}"/>
              </a:ext>
            </a:extLst>
          </xdr:cNvPr>
          <xdr:cNvSpPr/>
        </xdr:nvSpPr>
        <xdr:spPr>
          <a:xfrm>
            <a:off x="3674367" y="432434"/>
            <a:ext cx="1345308" cy="396242"/>
          </a:xfrm>
          <a:custGeom>
            <a:avLst/>
            <a:gdLst>
              <a:gd name="connsiteX0" fmla="*/ 0 w 1301755"/>
              <a:gd name="connsiteY0" fmla="*/ 58674 h 586739"/>
              <a:gd name="connsiteX1" fmla="*/ 58674 w 1301755"/>
              <a:gd name="connsiteY1" fmla="*/ 0 h 586739"/>
              <a:gd name="connsiteX2" fmla="*/ 1243081 w 1301755"/>
              <a:gd name="connsiteY2" fmla="*/ 0 h 586739"/>
              <a:gd name="connsiteX3" fmla="*/ 1301755 w 1301755"/>
              <a:gd name="connsiteY3" fmla="*/ 58674 h 586739"/>
              <a:gd name="connsiteX4" fmla="*/ 1301755 w 1301755"/>
              <a:gd name="connsiteY4" fmla="*/ 528065 h 586739"/>
              <a:gd name="connsiteX5" fmla="*/ 1243081 w 1301755"/>
              <a:gd name="connsiteY5" fmla="*/ 586739 h 586739"/>
              <a:gd name="connsiteX6" fmla="*/ 58674 w 1301755"/>
              <a:gd name="connsiteY6" fmla="*/ 586739 h 586739"/>
              <a:gd name="connsiteX7" fmla="*/ 0 w 1301755"/>
              <a:gd name="connsiteY7" fmla="*/ 528065 h 586739"/>
              <a:gd name="connsiteX8" fmla="*/ 0 w 1301755"/>
              <a:gd name="connsiteY8" fmla="*/ 58674 h 5867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01755" h="586739">
                <a:moveTo>
                  <a:pt x="0" y="58674"/>
                </a:moveTo>
                <a:cubicBezTo>
                  <a:pt x="0" y="26269"/>
                  <a:pt x="26269" y="0"/>
                  <a:pt x="58674" y="0"/>
                </a:cubicBezTo>
                <a:lnTo>
                  <a:pt x="1243081" y="0"/>
                </a:lnTo>
                <a:cubicBezTo>
                  <a:pt x="1275486" y="0"/>
                  <a:pt x="1301755" y="26269"/>
                  <a:pt x="1301755" y="58674"/>
                </a:cubicBezTo>
                <a:lnTo>
                  <a:pt x="1301755" y="528065"/>
                </a:lnTo>
                <a:cubicBezTo>
                  <a:pt x="1301755" y="560470"/>
                  <a:pt x="1275486" y="586739"/>
                  <a:pt x="1243081" y="586739"/>
                </a:cubicBezTo>
                <a:lnTo>
                  <a:pt x="58674" y="586739"/>
                </a:lnTo>
                <a:cubicBezTo>
                  <a:pt x="26269" y="586739"/>
                  <a:pt x="0" y="560470"/>
                  <a:pt x="0" y="528065"/>
                </a:cubicBezTo>
                <a:lnTo>
                  <a:pt x="0" y="58674"/>
                </a:lnTo>
                <a:close/>
              </a:path>
            </a:pathLst>
          </a:custGeom>
          <a:solidFill>
            <a:schemeClr val="accent1">
              <a:lumMod val="20000"/>
              <a:lumOff val="80000"/>
            </a:schemeClr>
          </a:solidFill>
          <a:ln>
            <a:noFill/>
          </a:ln>
          <a:scene3d>
            <a:camera prst="orthographicFront"/>
            <a:lightRig rig="threePt" dir="t">
              <a:rot lat="0" lon="0" rev="7500000"/>
            </a:lightRig>
          </a:scene3d>
          <a:sp3d z="152400" extrusionH="63500" prstMaterial="dkEdge">
            <a:bevelT w="135400" h="16350" prst="relaxedInset"/>
            <a:contourClr>
              <a:schemeClr val="bg1"/>
            </a:contourClr>
          </a:sp3d>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2313" tIns="152313" rIns="152313" bIns="152313" numCol="1" spcCol="1270" anchor="ctr" anchorCtr="0">
            <a:noAutofit/>
          </a:bodyPr>
          <a:lstStyle/>
          <a:p>
            <a:pPr marL="0" lvl="0" indent="0" algn="ctr" defTabSz="844550">
              <a:lnSpc>
                <a:spcPct val="90000"/>
              </a:lnSpc>
              <a:spcBef>
                <a:spcPct val="0"/>
              </a:spcBef>
              <a:spcAft>
                <a:spcPct val="35000"/>
              </a:spcAft>
              <a:buNone/>
            </a:pPr>
            <a:endParaRPr lang="en-IN" sz="1900" kern="1200"/>
          </a:p>
        </xdr:txBody>
      </xdr:sp>
    </xdr:grpSp>
    <xdr:clientData/>
  </xdr:twoCellAnchor>
  <xdr:twoCellAnchor>
    <xdr:from>
      <xdr:col>5</xdr:col>
      <xdr:colOff>333375</xdr:colOff>
      <xdr:row>0</xdr:row>
      <xdr:rowOff>104775</xdr:rowOff>
    </xdr:from>
    <xdr:to>
      <xdr:col>7</xdr:col>
      <xdr:colOff>447675</xdr:colOff>
      <xdr:row>2</xdr:row>
      <xdr:rowOff>95250</xdr:rowOff>
    </xdr:to>
    <xdr:sp macro="" textlink="">
      <xdr:nvSpPr>
        <xdr:cNvPr id="6" name="TextBox 5">
          <a:extLst>
            <a:ext uri="{FF2B5EF4-FFF2-40B4-BE49-F238E27FC236}">
              <a16:creationId xmlns:a16="http://schemas.microsoft.com/office/drawing/2014/main" id="{B00AF47A-7791-458F-9543-BC54E24C17F0}"/>
            </a:ext>
          </a:extLst>
        </xdr:cNvPr>
        <xdr:cNvSpPr txBox="1"/>
      </xdr:nvSpPr>
      <xdr:spPr>
        <a:xfrm>
          <a:off x="3381375" y="104775"/>
          <a:ext cx="13335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solidFill>
                <a:schemeClr val="accent5">
                  <a:lumMod val="20000"/>
                  <a:lumOff val="80000"/>
                </a:schemeClr>
              </a:solidFill>
              <a:latin typeface="Arial Narrow" panose="020B0606020202030204" pitchFamily="34" charset="0"/>
            </a:rPr>
            <a:t>Total sales unit</a:t>
          </a:r>
        </a:p>
      </xdr:txBody>
    </xdr:sp>
    <xdr:clientData/>
  </xdr:twoCellAnchor>
  <xdr:twoCellAnchor>
    <xdr:from>
      <xdr:col>8</xdr:col>
      <xdr:colOff>221691</xdr:colOff>
      <xdr:row>0</xdr:row>
      <xdr:rowOff>104774</xdr:rowOff>
    </xdr:from>
    <xdr:to>
      <xdr:col>11</xdr:col>
      <xdr:colOff>152400</xdr:colOff>
      <xdr:row>4</xdr:row>
      <xdr:rowOff>66676</xdr:rowOff>
    </xdr:to>
    <xdr:grpSp>
      <xdr:nvGrpSpPr>
        <xdr:cNvPr id="34" name="Group 33">
          <a:extLst>
            <a:ext uri="{FF2B5EF4-FFF2-40B4-BE49-F238E27FC236}">
              <a16:creationId xmlns:a16="http://schemas.microsoft.com/office/drawing/2014/main" id="{20495334-7D26-466C-B147-51389E7FBF09}"/>
            </a:ext>
          </a:extLst>
        </xdr:cNvPr>
        <xdr:cNvGrpSpPr/>
      </xdr:nvGrpSpPr>
      <xdr:grpSpPr>
        <a:xfrm>
          <a:off x="5098491" y="104774"/>
          <a:ext cx="1759509" cy="723902"/>
          <a:chOff x="3212541" y="104774"/>
          <a:chExt cx="1807134" cy="723902"/>
        </a:xfrm>
        <a:solidFill>
          <a:schemeClr val="accent1">
            <a:lumMod val="75000"/>
          </a:schemeClr>
        </a:solidFill>
      </xdr:grpSpPr>
      <xdr:sp macro="" textlink="">
        <xdr:nvSpPr>
          <xdr:cNvPr id="35" name="Arrow: Chevron 34">
            <a:extLst>
              <a:ext uri="{FF2B5EF4-FFF2-40B4-BE49-F238E27FC236}">
                <a16:creationId xmlns:a16="http://schemas.microsoft.com/office/drawing/2014/main" id="{9B7D9CAA-5055-4C90-8C44-EFDEFBB8D6AB}"/>
              </a:ext>
            </a:extLst>
          </xdr:cNvPr>
          <xdr:cNvSpPr/>
        </xdr:nvSpPr>
        <xdr:spPr>
          <a:xfrm>
            <a:off x="3212541" y="104774"/>
            <a:ext cx="1628841" cy="638175"/>
          </a:xfrm>
          <a:prstGeom prst="chevron">
            <a:avLst>
              <a:gd name="adj" fmla="val 40000"/>
            </a:avLst>
          </a:prstGeom>
          <a:grpFill/>
          <a:ln>
            <a:noFill/>
          </a:ln>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sp>
      <xdr:sp macro="" textlink="">
        <xdr:nvSpPr>
          <xdr:cNvPr id="36" name="Freeform: Shape 35">
            <a:extLst>
              <a:ext uri="{FF2B5EF4-FFF2-40B4-BE49-F238E27FC236}">
                <a16:creationId xmlns:a16="http://schemas.microsoft.com/office/drawing/2014/main" id="{567315F4-ECAC-4025-A035-87CCA90807CB}"/>
              </a:ext>
            </a:extLst>
          </xdr:cNvPr>
          <xdr:cNvSpPr/>
        </xdr:nvSpPr>
        <xdr:spPr>
          <a:xfrm>
            <a:off x="3674367" y="432434"/>
            <a:ext cx="1345308" cy="396242"/>
          </a:xfrm>
          <a:custGeom>
            <a:avLst/>
            <a:gdLst>
              <a:gd name="connsiteX0" fmla="*/ 0 w 1301755"/>
              <a:gd name="connsiteY0" fmla="*/ 58674 h 586739"/>
              <a:gd name="connsiteX1" fmla="*/ 58674 w 1301755"/>
              <a:gd name="connsiteY1" fmla="*/ 0 h 586739"/>
              <a:gd name="connsiteX2" fmla="*/ 1243081 w 1301755"/>
              <a:gd name="connsiteY2" fmla="*/ 0 h 586739"/>
              <a:gd name="connsiteX3" fmla="*/ 1301755 w 1301755"/>
              <a:gd name="connsiteY3" fmla="*/ 58674 h 586739"/>
              <a:gd name="connsiteX4" fmla="*/ 1301755 w 1301755"/>
              <a:gd name="connsiteY4" fmla="*/ 528065 h 586739"/>
              <a:gd name="connsiteX5" fmla="*/ 1243081 w 1301755"/>
              <a:gd name="connsiteY5" fmla="*/ 586739 h 586739"/>
              <a:gd name="connsiteX6" fmla="*/ 58674 w 1301755"/>
              <a:gd name="connsiteY6" fmla="*/ 586739 h 586739"/>
              <a:gd name="connsiteX7" fmla="*/ 0 w 1301755"/>
              <a:gd name="connsiteY7" fmla="*/ 528065 h 586739"/>
              <a:gd name="connsiteX8" fmla="*/ 0 w 1301755"/>
              <a:gd name="connsiteY8" fmla="*/ 58674 h 5867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01755" h="586739">
                <a:moveTo>
                  <a:pt x="0" y="58674"/>
                </a:moveTo>
                <a:cubicBezTo>
                  <a:pt x="0" y="26269"/>
                  <a:pt x="26269" y="0"/>
                  <a:pt x="58674" y="0"/>
                </a:cubicBezTo>
                <a:lnTo>
                  <a:pt x="1243081" y="0"/>
                </a:lnTo>
                <a:cubicBezTo>
                  <a:pt x="1275486" y="0"/>
                  <a:pt x="1301755" y="26269"/>
                  <a:pt x="1301755" y="58674"/>
                </a:cubicBezTo>
                <a:lnTo>
                  <a:pt x="1301755" y="528065"/>
                </a:lnTo>
                <a:cubicBezTo>
                  <a:pt x="1301755" y="560470"/>
                  <a:pt x="1275486" y="586739"/>
                  <a:pt x="1243081" y="586739"/>
                </a:cubicBezTo>
                <a:lnTo>
                  <a:pt x="58674" y="586739"/>
                </a:lnTo>
                <a:cubicBezTo>
                  <a:pt x="26269" y="586739"/>
                  <a:pt x="0" y="560470"/>
                  <a:pt x="0" y="528065"/>
                </a:cubicBezTo>
                <a:lnTo>
                  <a:pt x="0" y="58674"/>
                </a:lnTo>
                <a:close/>
              </a:path>
            </a:pathLst>
          </a:custGeom>
          <a:solidFill>
            <a:schemeClr val="accent1">
              <a:lumMod val="20000"/>
              <a:lumOff val="80000"/>
            </a:schemeClr>
          </a:solidFill>
          <a:ln>
            <a:noFill/>
          </a:ln>
          <a:scene3d>
            <a:camera prst="orthographicFront"/>
            <a:lightRig rig="threePt" dir="t">
              <a:rot lat="0" lon="0" rev="7500000"/>
            </a:lightRig>
          </a:scene3d>
          <a:sp3d z="152400" extrusionH="63500" prstMaterial="dkEdge">
            <a:bevelT w="135400" h="16350" prst="relaxedInset"/>
            <a:contourClr>
              <a:schemeClr val="bg1"/>
            </a:contourClr>
          </a:sp3d>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2313" tIns="152313" rIns="152313" bIns="152313" numCol="1" spcCol="1270" anchor="ctr" anchorCtr="0">
            <a:noAutofit/>
          </a:bodyPr>
          <a:lstStyle/>
          <a:p>
            <a:pPr marL="0" lvl="0" indent="0" algn="ctr" defTabSz="844550">
              <a:lnSpc>
                <a:spcPct val="90000"/>
              </a:lnSpc>
              <a:spcBef>
                <a:spcPct val="0"/>
              </a:spcBef>
              <a:spcAft>
                <a:spcPct val="35000"/>
              </a:spcAft>
              <a:buNone/>
            </a:pPr>
            <a:endParaRPr lang="en-IN" sz="1900" kern="1200"/>
          </a:p>
        </xdr:txBody>
      </xdr:sp>
    </xdr:grpSp>
    <xdr:clientData/>
  </xdr:twoCellAnchor>
  <xdr:twoCellAnchor>
    <xdr:from>
      <xdr:col>11</xdr:col>
      <xdr:colOff>250266</xdr:colOff>
      <xdr:row>0</xdr:row>
      <xdr:rowOff>104774</xdr:rowOff>
    </xdr:from>
    <xdr:to>
      <xdr:col>14</xdr:col>
      <xdr:colOff>180975</xdr:colOff>
      <xdr:row>4</xdr:row>
      <xdr:rowOff>66676</xdr:rowOff>
    </xdr:to>
    <xdr:grpSp>
      <xdr:nvGrpSpPr>
        <xdr:cNvPr id="37" name="Group 36">
          <a:extLst>
            <a:ext uri="{FF2B5EF4-FFF2-40B4-BE49-F238E27FC236}">
              <a16:creationId xmlns:a16="http://schemas.microsoft.com/office/drawing/2014/main" id="{05ECEC2F-CA08-4CC2-8D98-CAC87BEA29B4}"/>
            </a:ext>
          </a:extLst>
        </xdr:cNvPr>
        <xdr:cNvGrpSpPr/>
      </xdr:nvGrpSpPr>
      <xdr:grpSpPr>
        <a:xfrm>
          <a:off x="6955866" y="104774"/>
          <a:ext cx="1759509" cy="723902"/>
          <a:chOff x="3212541" y="104774"/>
          <a:chExt cx="1807134" cy="723902"/>
        </a:xfrm>
        <a:solidFill>
          <a:schemeClr val="accent1">
            <a:lumMod val="75000"/>
          </a:schemeClr>
        </a:solidFill>
      </xdr:grpSpPr>
      <xdr:sp macro="" textlink="">
        <xdr:nvSpPr>
          <xdr:cNvPr id="38" name="Arrow: Chevron 37">
            <a:extLst>
              <a:ext uri="{FF2B5EF4-FFF2-40B4-BE49-F238E27FC236}">
                <a16:creationId xmlns:a16="http://schemas.microsoft.com/office/drawing/2014/main" id="{51482EBF-1BA0-4D95-A472-E01D7D815E0F}"/>
              </a:ext>
            </a:extLst>
          </xdr:cNvPr>
          <xdr:cNvSpPr/>
        </xdr:nvSpPr>
        <xdr:spPr>
          <a:xfrm>
            <a:off x="3212541" y="104774"/>
            <a:ext cx="1628841" cy="638175"/>
          </a:xfrm>
          <a:prstGeom prst="chevron">
            <a:avLst>
              <a:gd name="adj" fmla="val 40000"/>
            </a:avLst>
          </a:prstGeom>
          <a:grpFill/>
          <a:ln>
            <a:noFill/>
          </a:ln>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sp>
      <xdr:sp macro="" textlink="">
        <xdr:nvSpPr>
          <xdr:cNvPr id="39" name="Freeform: Shape 38">
            <a:extLst>
              <a:ext uri="{FF2B5EF4-FFF2-40B4-BE49-F238E27FC236}">
                <a16:creationId xmlns:a16="http://schemas.microsoft.com/office/drawing/2014/main" id="{2891F129-E092-4BF7-B632-83DE38244A0F}"/>
              </a:ext>
            </a:extLst>
          </xdr:cNvPr>
          <xdr:cNvSpPr/>
        </xdr:nvSpPr>
        <xdr:spPr>
          <a:xfrm>
            <a:off x="3674367" y="432434"/>
            <a:ext cx="1345308" cy="396242"/>
          </a:xfrm>
          <a:custGeom>
            <a:avLst/>
            <a:gdLst>
              <a:gd name="connsiteX0" fmla="*/ 0 w 1301755"/>
              <a:gd name="connsiteY0" fmla="*/ 58674 h 586739"/>
              <a:gd name="connsiteX1" fmla="*/ 58674 w 1301755"/>
              <a:gd name="connsiteY1" fmla="*/ 0 h 586739"/>
              <a:gd name="connsiteX2" fmla="*/ 1243081 w 1301755"/>
              <a:gd name="connsiteY2" fmla="*/ 0 h 586739"/>
              <a:gd name="connsiteX3" fmla="*/ 1301755 w 1301755"/>
              <a:gd name="connsiteY3" fmla="*/ 58674 h 586739"/>
              <a:gd name="connsiteX4" fmla="*/ 1301755 w 1301755"/>
              <a:gd name="connsiteY4" fmla="*/ 528065 h 586739"/>
              <a:gd name="connsiteX5" fmla="*/ 1243081 w 1301755"/>
              <a:gd name="connsiteY5" fmla="*/ 586739 h 586739"/>
              <a:gd name="connsiteX6" fmla="*/ 58674 w 1301755"/>
              <a:gd name="connsiteY6" fmla="*/ 586739 h 586739"/>
              <a:gd name="connsiteX7" fmla="*/ 0 w 1301755"/>
              <a:gd name="connsiteY7" fmla="*/ 528065 h 586739"/>
              <a:gd name="connsiteX8" fmla="*/ 0 w 1301755"/>
              <a:gd name="connsiteY8" fmla="*/ 58674 h 5867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01755" h="586739">
                <a:moveTo>
                  <a:pt x="0" y="58674"/>
                </a:moveTo>
                <a:cubicBezTo>
                  <a:pt x="0" y="26269"/>
                  <a:pt x="26269" y="0"/>
                  <a:pt x="58674" y="0"/>
                </a:cubicBezTo>
                <a:lnTo>
                  <a:pt x="1243081" y="0"/>
                </a:lnTo>
                <a:cubicBezTo>
                  <a:pt x="1275486" y="0"/>
                  <a:pt x="1301755" y="26269"/>
                  <a:pt x="1301755" y="58674"/>
                </a:cubicBezTo>
                <a:lnTo>
                  <a:pt x="1301755" y="528065"/>
                </a:lnTo>
                <a:cubicBezTo>
                  <a:pt x="1301755" y="560470"/>
                  <a:pt x="1275486" y="586739"/>
                  <a:pt x="1243081" y="586739"/>
                </a:cubicBezTo>
                <a:lnTo>
                  <a:pt x="58674" y="586739"/>
                </a:lnTo>
                <a:cubicBezTo>
                  <a:pt x="26269" y="586739"/>
                  <a:pt x="0" y="560470"/>
                  <a:pt x="0" y="528065"/>
                </a:cubicBezTo>
                <a:lnTo>
                  <a:pt x="0" y="58674"/>
                </a:lnTo>
                <a:close/>
              </a:path>
            </a:pathLst>
          </a:custGeom>
          <a:solidFill>
            <a:schemeClr val="accent1">
              <a:lumMod val="20000"/>
              <a:lumOff val="80000"/>
            </a:schemeClr>
          </a:solidFill>
          <a:ln>
            <a:noFill/>
          </a:ln>
          <a:scene3d>
            <a:camera prst="orthographicFront"/>
            <a:lightRig rig="threePt" dir="t">
              <a:rot lat="0" lon="0" rev="7500000"/>
            </a:lightRig>
          </a:scene3d>
          <a:sp3d z="152400" extrusionH="63500" prstMaterial="dkEdge">
            <a:bevelT w="135400" h="16350" prst="relaxedInset"/>
            <a:contourClr>
              <a:schemeClr val="bg1"/>
            </a:contourClr>
          </a:sp3d>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2313" tIns="152313" rIns="152313" bIns="152313" numCol="1" spcCol="1270" anchor="ctr" anchorCtr="0">
            <a:noAutofit/>
          </a:bodyPr>
          <a:lstStyle/>
          <a:p>
            <a:pPr marL="0" lvl="0" indent="0" algn="ctr" defTabSz="844550">
              <a:lnSpc>
                <a:spcPct val="90000"/>
              </a:lnSpc>
              <a:spcBef>
                <a:spcPct val="0"/>
              </a:spcBef>
              <a:spcAft>
                <a:spcPct val="35000"/>
              </a:spcAft>
              <a:buNone/>
            </a:pPr>
            <a:endParaRPr lang="en-IN" sz="1900" kern="1200"/>
          </a:p>
        </xdr:txBody>
      </xdr:sp>
    </xdr:grpSp>
    <xdr:clientData/>
  </xdr:twoCellAnchor>
  <xdr:twoCellAnchor>
    <xdr:from>
      <xdr:col>14</xdr:col>
      <xdr:colOff>276225</xdr:colOff>
      <xdr:row>0</xdr:row>
      <xdr:rowOff>95250</xdr:rowOff>
    </xdr:from>
    <xdr:to>
      <xdr:col>17</xdr:col>
      <xdr:colOff>206934</xdr:colOff>
      <xdr:row>4</xdr:row>
      <xdr:rowOff>57152</xdr:rowOff>
    </xdr:to>
    <xdr:grpSp>
      <xdr:nvGrpSpPr>
        <xdr:cNvPr id="40" name="Group 39">
          <a:extLst>
            <a:ext uri="{FF2B5EF4-FFF2-40B4-BE49-F238E27FC236}">
              <a16:creationId xmlns:a16="http://schemas.microsoft.com/office/drawing/2014/main" id="{9E34F8A9-93B7-4B17-9B4B-33DA6E0FFA9D}"/>
            </a:ext>
          </a:extLst>
        </xdr:cNvPr>
        <xdr:cNvGrpSpPr/>
      </xdr:nvGrpSpPr>
      <xdr:grpSpPr>
        <a:xfrm>
          <a:off x="8810625" y="95250"/>
          <a:ext cx="1759509" cy="723902"/>
          <a:chOff x="3212541" y="104774"/>
          <a:chExt cx="1807134" cy="723902"/>
        </a:xfrm>
        <a:solidFill>
          <a:schemeClr val="accent1">
            <a:lumMod val="75000"/>
          </a:schemeClr>
        </a:solidFill>
      </xdr:grpSpPr>
      <xdr:sp macro="" textlink="">
        <xdr:nvSpPr>
          <xdr:cNvPr id="41" name="Arrow: Chevron 40">
            <a:extLst>
              <a:ext uri="{FF2B5EF4-FFF2-40B4-BE49-F238E27FC236}">
                <a16:creationId xmlns:a16="http://schemas.microsoft.com/office/drawing/2014/main" id="{4084BB58-737C-4F02-9762-8251F79757A0}"/>
              </a:ext>
            </a:extLst>
          </xdr:cNvPr>
          <xdr:cNvSpPr/>
        </xdr:nvSpPr>
        <xdr:spPr>
          <a:xfrm>
            <a:off x="3212541" y="104774"/>
            <a:ext cx="1628841" cy="638175"/>
          </a:xfrm>
          <a:prstGeom prst="chevron">
            <a:avLst>
              <a:gd name="adj" fmla="val 40000"/>
            </a:avLst>
          </a:prstGeom>
          <a:grpFill/>
          <a:ln>
            <a:noFill/>
          </a:ln>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sp>
      <xdr:sp macro="" textlink="">
        <xdr:nvSpPr>
          <xdr:cNvPr id="42" name="Freeform: Shape 41">
            <a:extLst>
              <a:ext uri="{FF2B5EF4-FFF2-40B4-BE49-F238E27FC236}">
                <a16:creationId xmlns:a16="http://schemas.microsoft.com/office/drawing/2014/main" id="{24227E80-8233-4E37-A369-125A2382F7B7}"/>
              </a:ext>
            </a:extLst>
          </xdr:cNvPr>
          <xdr:cNvSpPr/>
        </xdr:nvSpPr>
        <xdr:spPr>
          <a:xfrm>
            <a:off x="3674367" y="432434"/>
            <a:ext cx="1345308" cy="396242"/>
          </a:xfrm>
          <a:custGeom>
            <a:avLst/>
            <a:gdLst>
              <a:gd name="connsiteX0" fmla="*/ 0 w 1301755"/>
              <a:gd name="connsiteY0" fmla="*/ 58674 h 586739"/>
              <a:gd name="connsiteX1" fmla="*/ 58674 w 1301755"/>
              <a:gd name="connsiteY1" fmla="*/ 0 h 586739"/>
              <a:gd name="connsiteX2" fmla="*/ 1243081 w 1301755"/>
              <a:gd name="connsiteY2" fmla="*/ 0 h 586739"/>
              <a:gd name="connsiteX3" fmla="*/ 1301755 w 1301755"/>
              <a:gd name="connsiteY3" fmla="*/ 58674 h 586739"/>
              <a:gd name="connsiteX4" fmla="*/ 1301755 w 1301755"/>
              <a:gd name="connsiteY4" fmla="*/ 528065 h 586739"/>
              <a:gd name="connsiteX5" fmla="*/ 1243081 w 1301755"/>
              <a:gd name="connsiteY5" fmla="*/ 586739 h 586739"/>
              <a:gd name="connsiteX6" fmla="*/ 58674 w 1301755"/>
              <a:gd name="connsiteY6" fmla="*/ 586739 h 586739"/>
              <a:gd name="connsiteX7" fmla="*/ 0 w 1301755"/>
              <a:gd name="connsiteY7" fmla="*/ 528065 h 586739"/>
              <a:gd name="connsiteX8" fmla="*/ 0 w 1301755"/>
              <a:gd name="connsiteY8" fmla="*/ 58674 h 5867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01755" h="586739">
                <a:moveTo>
                  <a:pt x="0" y="58674"/>
                </a:moveTo>
                <a:cubicBezTo>
                  <a:pt x="0" y="26269"/>
                  <a:pt x="26269" y="0"/>
                  <a:pt x="58674" y="0"/>
                </a:cubicBezTo>
                <a:lnTo>
                  <a:pt x="1243081" y="0"/>
                </a:lnTo>
                <a:cubicBezTo>
                  <a:pt x="1275486" y="0"/>
                  <a:pt x="1301755" y="26269"/>
                  <a:pt x="1301755" y="58674"/>
                </a:cubicBezTo>
                <a:lnTo>
                  <a:pt x="1301755" y="528065"/>
                </a:lnTo>
                <a:cubicBezTo>
                  <a:pt x="1301755" y="560470"/>
                  <a:pt x="1275486" y="586739"/>
                  <a:pt x="1243081" y="586739"/>
                </a:cubicBezTo>
                <a:lnTo>
                  <a:pt x="58674" y="586739"/>
                </a:lnTo>
                <a:cubicBezTo>
                  <a:pt x="26269" y="586739"/>
                  <a:pt x="0" y="560470"/>
                  <a:pt x="0" y="528065"/>
                </a:cubicBezTo>
                <a:lnTo>
                  <a:pt x="0" y="58674"/>
                </a:lnTo>
                <a:close/>
              </a:path>
            </a:pathLst>
          </a:custGeom>
          <a:solidFill>
            <a:schemeClr val="accent1">
              <a:lumMod val="20000"/>
              <a:lumOff val="80000"/>
            </a:schemeClr>
          </a:solidFill>
          <a:ln>
            <a:noFill/>
          </a:ln>
          <a:scene3d>
            <a:camera prst="orthographicFront"/>
            <a:lightRig rig="threePt" dir="t">
              <a:rot lat="0" lon="0" rev="7500000"/>
            </a:lightRig>
          </a:scene3d>
          <a:sp3d z="152400" extrusionH="63500" prstMaterial="dkEdge">
            <a:bevelT w="135400" h="16350" prst="relaxedInset"/>
            <a:contourClr>
              <a:schemeClr val="bg1"/>
            </a:contourClr>
          </a:sp3d>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2313" tIns="152313" rIns="152313" bIns="152313" numCol="1" spcCol="1270" anchor="ctr" anchorCtr="0">
            <a:noAutofit/>
          </a:bodyPr>
          <a:lstStyle/>
          <a:p>
            <a:pPr marL="0" lvl="0" indent="0" algn="ctr" defTabSz="844550">
              <a:lnSpc>
                <a:spcPct val="90000"/>
              </a:lnSpc>
              <a:spcBef>
                <a:spcPct val="0"/>
              </a:spcBef>
              <a:spcAft>
                <a:spcPct val="35000"/>
              </a:spcAft>
              <a:buNone/>
            </a:pPr>
            <a:endParaRPr lang="en-IN" sz="1900" kern="1200"/>
          </a:p>
        </xdr:txBody>
      </xdr:sp>
    </xdr:grpSp>
    <xdr:clientData/>
  </xdr:twoCellAnchor>
  <xdr:twoCellAnchor>
    <xdr:from>
      <xdr:col>17</xdr:col>
      <xdr:colOff>371475</xdr:colOff>
      <xdr:row>0</xdr:row>
      <xdr:rowOff>95250</xdr:rowOff>
    </xdr:from>
    <xdr:to>
      <xdr:col>20</xdr:col>
      <xdr:colOff>302184</xdr:colOff>
      <xdr:row>4</xdr:row>
      <xdr:rowOff>57152</xdr:rowOff>
    </xdr:to>
    <xdr:grpSp>
      <xdr:nvGrpSpPr>
        <xdr:cNvPr id="43" name="Group 42">
          <a:extLst>
            <a:ext uri="{FF2B5EF4-FFF2-40B4-BE49-F238E27FC236}">
              <a16:creationId xmlns:a16="http://schemas.microsoft.com/office/drawing/2014/main" id="{2BC8BBF2-0C54-42EB-90B4-B87A6045BFDA}"/>
            </a:ext>
          </a:extLst>
        </xdr:cNvPr>
        <xdr:cNvGrpSpPr/>
      </xdr:nvGrpSpPr>
      <xdr:grpSpPr>
        <a:xfrm>
          <a:off x="10734675" y="95250"/>
          <a:ext cx="1759509" cy="723902"/>
          <a:chOff x="3212541" y="104774"/>
          <a:chExt cx="1807134" cy="723902"/>
        </a:xfrm>
        <a:solidFill>
          <a:schemeClr val="accent1">
            <a:lumMod val="75000"/>
          </a:schemeClr>
        </a:solidFill>
      </xdr:grpSpPr>
      <xdr:sp macro="" textlink="">
        <xdr:nvSpPr>
          <xdr:cNvPr id="44" name="Arrow: Chevron 43">
            <a:extLst>
              <a:ext uri="{FF2B5EF4-FFF2-40B4-BE49-F238E27FC236}">
                <a16:creationId xmlns:a16="http://schemas.microsoft.com/office/drawing/2014/main" id="{F8CE373E-7D67-4520-B940-EA5574EAB09D}"/>
              </a:ext>
            </a:extLst>
          </xdr:cNvPr>
          <xdr:cNvSpPr/>
        </xdr:nvSpPr>
        <xdr:spPr>
          <a:xfrm>
            <a:off x="3212541" y="104774"/>
            <a:ext cx="1628841" cy="638175"/>
          </a:xfrm>
          <a:prstGeom prst="chevron">
            <a:avLst>
              <a:gd name="adj" fmla="val 40000"/>
            </a:avLst>
          </a:prstGeom>
          <a:grpFill/>
          <a:ln>
            <a:noFill/>
          </a:ln>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sp>
      <xdr:sp macro="" textlink="">
        <xdr:nvSpPr>
          <xdr:cNvPr id="45" name="Freeform: Shape 44">
            <a:extLst>
              <a:ext uri="{FF2B5EF4-FFF2-40B4-BE49-F238E27FC236}">
                <a16:creationId xmlns:a16="http://schemas.microsoft.com/office/drawing/2014/main" id="{582EDDBF-47A5-43EA-9283-DD77750B1DA0}"/>
              </a:ext>
            </a:extLst>
          </xdr:cNvPr>
          <xdr:cNvSpPr/>
        </xdr:nvSpPr>
        <xdr:spPr>
          <a:xfrm>
            <a:off x="3674367" y="432434"/>
            <a:ext cx="1345308" cy="396242"/>
          </a:xfrm>
          <a:custGeom>
            <a:avLst/>
            <a:gdLst>
              <a:gd name="connsiteX0" fmla="*/ 0 w 1301755"/>
              <a:gd name="connsiteY0" fmla="*/ 58674 h 586739"/>
              <a:gd name="connsiteX1" fmla="*/ 58674 w 1301755"/>
              <a:gd name="connsiteY1" fmla="*/ 0 h 586739"/>
              <a:gd name="connsiteX2" fmla="*/ 1243081 w 1301755"/>
              <a:gd name="connsiteY2" fmla="*/ 0 h 586739"/>
              <a:gd name="connsiteX3" fmla="*/ 1301755 w 1301755"/>
              <a:gd name="connsiteY3" fmla="*/ 58674 h 586739"/>
              <a:gd name="connsiteX4" fmla="*/ 1301755 w 1301755"/>
              <a:gd name="connsiteY4" fmla="*/ 528065 h 586739"/>
              <a:gd name="connsiteX5" fmla="*/ 1243081 w 1301755"/>
              <a:gd name="connsiteY5" fmla="*/ 586739 h 586739"/>
              <a:gd name="connsiteX6" fmla="*/ 58674 w 1301755"/>
              <a:gd name="connsiteY6" fmla="*/ 586739 h 586739"/>
              <a:gd name="connsiteX7" fmla="*/ 0 w 1301755"/>
              <a:gd name="connsiteY7" fmla="*/ 528065 h 586739"/>
              <a:gd name="connsiteX8" fmla="*/ 0 w 1301755"/>
              <a:gd name="connsiteY8" fmla="*/ 58674 h 5867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01755" h="586739">
                <a:moveTo>
                  <a:pt x="0" y="58674"/>
                </a:moveTo>
                <a:cubicBezTo>
                  <a:pt x="0" y="26269"/>
                  <a:pt x="26269" y="0"/>
                  <a:pt x="58674" y="0"/>
                </a:cubicBezTo>
                <a:lnTo>
                  <a:pt x="1243081" y="0"/>
                </a:lnTo>
                <a:cubicBezTo>
                  <a:pt x="1275486" y="0"/>
                  <a:pt x="1301755" y="26269"/>
                  <a:pt x="1301755" y="58674"/>
                </a:cubicBezTo>
                <a:lnTo>
                  <a:pt x="1301755" y="528065"/>
                </a:lnTo>
                <a:cubicBezTo>
                  <a:pt x="1301755" y="560470"/>
                  <a:pt x="1275486" y="586739"/>
                  <a:pt x="1243081" y="586739"/>
                </a:cubicBezTo>
                <a:lnTo>
                  <a:pt x="58674" y="586739"/>
                </a:lnTo>
                <a:cubicBezTo>
                  <a:pt x="26269" y="586739"/>
                  <a:pt x="0" y="560470"/>
                  <a:pt x="0" y="528065"/>
                </a:cubicBezTo>
                <a:lnTo>
                  <a:pt x="0" y="58674"/>
                </a:lnTo>
                <a:close/>
              </a:path>
            </a:pathLst>
          </a:custGeom>
          <a:solidFill>
            <a:schemeClr val="accent1">
              <a:lumMod val="20000"/>
              <a:lumOff val="80000"/>
            </a:schemeClr>
          </a:solidFill>
          <a:ln>
            <a:noFill/>
          </a:ln>
          <a:scene3d>
            <a:camera prst="orthographicFront"/>
            <a:lightRig rig="threePt" dir="t">
              <a:rot lat="0" lon="0" rev="7500000"/>
            </a:lightRig>
          </a:scene3d>
          <a:sp3d z="152400" extrusionH="63500" prstMaterial="dkEdge">
            <a:bevelT w="135400" h="16350" prst="relaxedInset"/>
            <a:contourClr>
              <a:schemeClr val="bg1"/>
            </a:contourClr>
          </a:sp3d>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2313" tIns="152313" rIns="152313" bIns="152313" numCol="1" spcCol="1270" anchor="ctr" anchorCtr="0">
            <a:noAutofit/>
          </a:bodyPr>
          <a:lstStyle/>
          <a:p>
            <a:pPr marL="0" lvl="0" indent="0" algn="ctr" defTabSz="844550">
              <a:lnSpc>
                <a:spcPct val="90000"/>
              </a:lnSpc>
              <a:spcBef>
                <a:spcPct val="0"/>
              </a:spcBef>
              <a:spcAft>
                <a:spcPct val="35000"/>
              </a:spcAft>
              <a:buNone/>
            </a:pPr>
            <a:endParaRPr lang="en-IN" sz="1900" kern="1200"/>
          </a:p>
        </xdr:txBody>
      </xdr:sp>
    </xdr:grpSp>
    <xdr:clientData/>
  </xdr:twoCellAnchor>
  <xdr:twoCellAnchor>
    <xdr:from>
      <xdr:col>8</xdr:col>
      <xdr:colOff>400050</xdr:colOff>
      <xdr:row>0</xdr:row>
      <xdr:rowOff>95250</xdr:rowOff>
    </xdr:from>
    <xdr:to>
      <xdr:col>10</xdr:col>
      <xdr:colOff>514350</xdr:colOff>
      <xdr:row>2</xdr:row>
      <xdr:rowOff>85725</xdr:rowOff>
    </xdr:to>
    <xdr:sp macro="" textlink="">
      <xdr:nvSpPr>
        <xdr:cNvPr id="46" name="TextBox 45">
          <a:extLst>
            <a:ext uri="{FF2B5EF4-FFF2-40B4-BE49-F238E27FC236}">
              <a16:creationId xmlns:a16="http://schemas.microsoft.com/office/drawing/2014/main" id="{0DEEB07F-A672-4D43-9EDB-B61BB59CF6C3}"/>
            </a:ext>
          </a:extLst>
        </xdr:cNvPr>
        <xdr:cNvSpPr txBox="1"/>
      </xdr:nvSpPr>
      <xdr:spPr>
        <a:xfrm>
          <a:off x="5276850" y="95250"/>
          <a:ext cx="13335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solidFill>
                <a:schemeClr val="accent5">
                  <a:lumMod val="20000"/>
                  <a:lumOff val="80000"/>
                </a:schemeClr>
              </a:solidFill>
              <a:latin typeface="Arial Narrow" panose="020B0606020202030204" pitchFamily="34" charset="0"/>
            </a:rPr>
            <a:t>Avg</a:t>
          </a:r>
          <a:r>
            <a:rPr lang="en-IN" sz="1300" b="1" baseline="0">
              <a:solidFill>
                <a:schemeClr val="accent5">
                  <a:lumMod val="20000"/>
                  <a:lumOff val="80000"/>
                </a:schemeClr>
              </a:solidFill>
              <a:latin typeface="Arial Narrow" panose="020B0606020202030204" pitchFamily="34" charset="0"/>
            </a:rPr>
            <a:t> 5year CAGR</a:t>
          </a:r>
          <a:endParaRPr lang="en-IN" sz="1300" b="1">
            <a:solidFill>
              <a:schemeClr val="accent5">
                <a:lumMod val="20000"/>
                <a:lumOff val="80000"/>
              </a:schemeClr>
            </a:solidFill>
            <a:latin typeface="Arial Narrow" panose="020B0606020202030204" pitchFamily="34" charset="0"/>
          </a:endParaRPr>
        </a:p>
      </xdr:txBody>
    </xdr:sp>
    <xdr:clientData/>
  </xdr:twoCellAnchor>
  <xdr:twoCellAnchor>
    <xdr:from>
      <xdr:col>11</xdr:col>
      <xdr:colOff>428625</xdr:colOff>
      <xdr:row>0</xdr:row>
      <xdr:rowOff>114300</xdr:rowOff>
    </xdr:from>
    <xdr:to>
      <xdr:col>13</xdr:col>
      <xdr:colOff>542925</xdr:colOff>
      <xdr:row>2</xdr:row>
      <xdr:rowOff>104775</xdr:rowOff>
    </xdr:to>
    <xdr:sp macro="" textlink="">
      <xdr:nvSpPr>
        <xdr:cNvPr id="47" name="TextBox 46">
          <a:extLst>
            <a:ext uri="{FF2B5EF4-FFF2-40B4-BE49-F238E27FC236}">
              <a16:creationId xmlns:a16="http://schemas.microsoft.com/office/drawing/2014/main" id="{CDB4CF24-BCEE-48C7-B1D8-C10C278E25FC}"/>
            </a:ext>
          </a:extLst>
        </xdr:cNvPr>
        <xdr:cNvSpPr txBox="1"/>
      </xdr:nvSpPr>
      <xdr:spPr>
        <a:xfrm>
          <a:off x="7134225" y="114300"/>
          <a:ext cx="13335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solidFill>
                <a:schemeClr val="accent5">
                  <a:lumMod val="20000"/>
                  <a:lumOff val="80000"/>
                </a:schemeClr>
              </a:solidFill>
              <a:latin typeface="Arial Narrow" panose="020B0606020202030204" pitchFamily="34" charset="0"/>
            </a:rPr>
            <a:t>No.</a:t>
          </a:r>
          <a:r>
            <a:rPr lang="en-IN" sz="1300" b="1" baseline="0">
              <a:solidFill>
                <a:schemeClr val="accent5">
                  <a:lumMod val="20000"/>
                  <a:lumOff val="80000"/>
                </a:schemeClr>
              </a:solidFill>
              <a:latin typeface="Arial Narrow" panose="020B0606020202030204" pitchFamily="34" charset="0"/>
            </a:rPr>
            <a:t> of Accounts</a:t>
          </a:r>
          <a:endParaRPr lang="en-IN" sz="1300" b="1">
            <a:solidFill>
              <a:schemeClr val="accent5">
                <a:lumMod val="20000"/>
                <a:lumOff val="80000"/>
              </a:schemeClr>
            </a:solidFill>
            <a:latin typeface="Arial Narrow" panose="020B0606020202030204" pitchFamily="34" charset="0"/>
          </a:endParaRPr>
        </a:p>
      </xdr:txBody>
    </xdr:sp>
    <xdr:clientData/>
  </xdr:twoCellAnchor>
  <xdr:twoCellAnchor>
    <xdr:from>
      <xdr:col>14</xdr:col>
      <xdr:colOff>371474</xdr:colOff>
      <xdr:row>0</xdr:row>
      <xdr:rowOff>104776</xdr:rowOff>
    </xdr:from>
    <xdr:to>
      <xdr:col>16</xdr:col>
      <xdr:colOff>571499</xdr:colOff>
      <xdr:row>2</xdr:row>
      <xdr:rowOff>9526</xdr:rowOff>
    </xdr:to>
    <xdr:sp macro="" textlink="">
      <xdr:nvSpPr>
        <xdr:cNvPr id="48" name="TextBox 47">
          <a:extLst>
            <a:ext uri="{FF2B5EF4-FFF2-40B4-BE49-F238E27FC236}">
              <a16:creationId xmlns:a16="http://schemas.microsoft.com/office/drawing/2014/main" id="{DEA8E160-3F82-47E7-BBAF-A15D86AC8153}"/>
            </a:ext>
          </a:extLst>
        </xdr:cNvPr>
        <xdr:cNvSpPr txBox="1"/>
      </xdr:nvSpPr>
      <xdr:spPr>
        <a:xfrm>
          <a:off x="8905874" y="104776"/>
          <a:ext cx="14192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300" b="1" baseline="0">
              <a:solidFill>
                <a:schemeClr val="accent5">
                  <a:lumMod val="20000"/>
                  <a:lumOff val="80000"/>
                </a:schemeClr>
              </a:solidFill>
              <a:latin typeface="Arial Narrow" panose="020B0606020202030204" pitchFamily="34" charset="0"/>
            </a:rPr>
            <a:t>Maximum sales</a:t>
          </a:r>
        </a:p>
      </xdr:txBody>
    </xdr:sp>
    <xdr:clientData/>
  </xdr:twoCellAnchor>
  <xdr:twoCellAnchor>
    <xdr:from>
      <xdr:col>17</xdr:col>
      <xdr:colOff>514349</xdr:colOff>
      <xdr:row>0</xdr:row>
      <xdr:rowOff>95250</xdr:rowOff>
    </xdr:from>
    <xdr:to>
      <xdr:col>20</xdr:col>
      <xdr:colOff>85724</xdr:colOff>
      <xdr:row>2</xdr:row>
      <xdr:rowOff>85725</xdr:rowOff>
    </xdr:to>
    <xdr:sp macro="" textlink="">
      <xdr:nvSpPr>
        <xdr:cNvPr id="49" name="TextBox 48">
          <a:extLst>
            <a:ext uri="{FF2B5EF4-FFF2-40B4-BE49-F238E27FC236}">
              <a16:creationId xmlns:a16="http://schemas.microsoft.com/office/drawing/2014/main" id="{65461D00-1FCD-4EE1-B8C8-992FE8C6FF58}"/>
            </a:ext>
          </a:extLst>
        </xdr:cNvPr>
        <xdr:cNvSpPr txBox="1"/>
      </xdr:nvSpPr>
      <xdr:spPr>
        <a:xfrm>
          <a:off x="10877549" y="95250"/>
          <a:ext cx="14001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baseline="0">
              <a:solidFill>
                <a:schemeClr val="accent5">
                  <a:lumMod val="20000"/>
                  <a:lumOff val="80000"/>
                </a:schemeClr>
              </a:solidFill>
              <a:latin typeface="Arial Narrow" panose="020B0606020202030204" pitchFamily="34" charset="0"/>
            </a:rPr>
            <a:t>Type of Accounts</a:t>
          </a:r>
          <a:endParaRPr lang="en-IN" sz="1300" b="1">
            <a:solidFill>
              <a:schemeClr val="accent5">
                <a:lumMod val="20000"/>
                <a:lumOff val="80000"/>
              </a:schemeClr>
            </a:solidFill>
            <a:latin typeface="Arial Narrow" panose="020B0606020202030204" pitchFamily="34" charset="0"/>
          </a:endParaRPr>
        </a:p>
      </xdr:txBody>
    </xdr:sp>
    <xdr:clientData/>
  </xdr:twoCellAnchor>
  <xdr:twoCellAnchor>
    <xdr:from>
      <xdr:col>6</xdr:col>
      <xdr:colOff>9525</xdr:colOff>
      <xdr:row>2</xdr:row>
      <xdr:rowOff>47625</xdr:rowOff>
    </xdr:from>
    <xdr:to>
      <xdr:col>8</xdr:col>
      <xdr:colOff>95250</xdr:colOff>
      <xdr:row>4</xdr:row>
      <xdr:rowOff>66675</xdr:rowOff>
    </xdr:to>
    <xdr:sp macro="" textlink="Analysis!B128">
      <xdr:nvSpPr>
        <xdr:cNvPr id="50" name="TextBox 49">
          <a:extLst>
            <a:ext uri="{FF2B5EF4-FFF2-40B4-BE49-F238E27FC236}">
              <a16:creationId xmlns:a16="http://schemas.microsoft.com/office/drawing/2014/main" id="{9C5CC234-B190-4B1B-A228-0FA99EDD3629}"/>
            </a:ext>
          </a:extLst>
        </xdr:cNvPr>
        <xdr:cNvSpPr txBox="1"/>
      </xdr:nvSpPr>
      <xdr:spPr>
        <a:xfrm>
          <a:off x="3667125" y="428625"/>
          <a:ext cx="13049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F10DF8-7EEA-45C3-8EC2-05C364746DDC}" type="TxLink">
            <a:rPr lang="en-US" sz="2000" b="1" i="0" u="none" strike="noStrike">
              <a:solidFill>
                <a:srgbClr val="C00000"/>
              </a:solidFill>
              <a:latin typeface="Calibri"/>
              <a:ea typeface="+mn-ea"/>
              <a:cs typeface="Calibri"/>
            </a:rPr>
            <a:pPr marL="0" indent="0" algn="ctr"/>
            <a:t>14,80,848</a:t>
          </a:fld>
          <a:endParaRPr lang="en-IN" sz="2000" b="1" i="0" u="none" strike="noStrike">
            <a:solidFill>
              <a:srgbClr val="C00000"/>
            </a:solidFill>
            <a:latin typeface="Calibri"/>
            <a:ea typeface="+mn-ea"/>
            <a:cs typeface="Calibri"/>
          </a:endParaRPr>
        </a:p>
      </xdr:txBody>
    </xdr:sp>
    <xdr:clientData/>
  </xdr:twoCellAnchor>
  <xdr:twoCellAnchor>
    <xdr:from>
      <xdr:col>9</xdr:col>
      <xdr:colOff>95250</xdr:colOff>
      <xdr:row>2</xdr:row>
      <xdr:rowOff>57150</xdr:rowOff>
    </xdr:from>
    <xdr:to>
      <xdr:col>11</xdr:col>
      <xdr:colOff>180975</xdr:colOff>
      <xdr:row>4</xdr:row>
      <xdr:rowOff>85725</xdr:rowOff>
    </xdr:to>
    <xdr:sp macro="" textlink="Analysis!B10">
      <xdr:nvSpPr>
        <xdr:cNvPr id="51" name="TextBox 50">
          <a:extLst>
            <a:ext uri="{FF2B5EF4-FFF2-40B4-BE49-F238E27FC236}">
              <a16:creationId xmlns:a16="http://schemas.microsoft.com/office/drawing/2014/main" id="{F9046D41-2A20-45AB-8C50-836C879CF9F0}"/>
            </a:ext>
          </a:extLst>
        </xdr:cNvPr>
        <xdr:cNvSpPr txBox="1"/>
      </xdr:nvSpPr>
      <xdr:spPr>
        <a:xfrm>
          <a:off x="5581650" y="438150"/>
          <a:ext cx="13049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7D2522-65C0-414C-B1A2-24CBC76BD567}" type="TxLink">
            <a:rPr lang="en-US" sz="2000" b="1" i="0" u="none" strike="noStrike">
              <a:solidFill>
                <a:srgbClr val="C00000"/>
              </a:solidFill>
              <a:latin typeface="Calibri"/>
              <a:cs typeface="Calibri"/>
            </a:rPr>
            <a:pPr algn="ctr"/>
            <a:t>51.77%</a:t>
          </a:fld>
          <a:endParaRPr lang="en-IN" sz="2000" b="1">
            <a:solidFill>
              <a:srgbClr val="C00000"/>
            </a:solidFill>
          </a:endParaRPr>
        </a:p>
      </xdr:txBody>
    </xdr:sp>
    <xdr:clientData/>
  </xdr:twoCellAnchor>
  <xdr:twoCellAnchor>
    <xdr:from>
      <xdr:col>12</xdr:col>
      <xdr:colOff>104775</xdr:colOff>
      <xdr:row>2</xdr:row>
      <xdr:rowOff>47625</xdr:rowOff>
    </xdr:from>
    <xdr:to>
      <xdr:col>14</xdr:col>
      <xdr:colOff>190500</xdr:colOff>
      <xdr:row>4</xdr:row>
      <xdr:rowOff>66675</xdr:rowOff>
    </xdr:to>
    <xdr:sp macro="" textlink="Analysis!A5">
      <xdr:nvSpPr>
        <xdr:cNvPr id="52" name="TextBox 51">
          <a:extLst>
            <a:ext uri="{FF2B5EF4-FFF2-40B4-BE49-F238E27FC236}">
              <a16:creationId xmlns:a16="http://schemas.microsoft.com/office/drawing/2014/main" id="{4433DBCE-0D04-4E82-8B5F-9E0079F53244}"/>
            </a:ext>
          </a:extLst>
        </xdr:cNvPr>
        <xdr:cNvSpPr txBox="1"/>
      </xdr:nvSpPr>
      <xdr:spPr>
        <a:xfrm>
          <a:off x="7419975" y="428625"/>
          <a:ext cx="13049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4D1B99-A5EE-4B39-AA60-D4BDC59494EF}" type="TxLink">
            <a:rPr lang="en-US" sz="2000" b="1" i="0" u="none" strike="noStrike">
              <a:solidFill>
                <a:srgbClr val="C00000"/>
              </a:solidFill>
              <a:latin typeface="Calibri"/>
              <a:cs typeface="Calibri"/>
            </a:rPr>
            <a:pPr algn="ctr"/>
            <a:t>60</a:t>
          </a:fld>
          <a:endParaRPr lang="en-IN" sz="2000" b="1">
            <a:solidFill>
              <a:srgbClr val="C00000"/>
            </a:solidFill>
          </a:endParaRPr>
        </a:p>
      </xdr:txBody>
    </xdr:sp>
    <xdr:clientData/>
  </xdr:twoCellAnchor>
  <xdr:twoCellAnchor>
    <xdr:from>
      <xdr:col>15</xdr:col>
      <xdr:colOff>123825</xdr:colOff>
      <xdr:row>2</xdr:row>
      <xdr:rowOff>38100</xdr:rowOff>
    </xdr:from>
    <xdr:to>
      <xdr:col>17</xdr:col>
      <xdr:colOff>209550</xdr:colOff>
      <xdr:row>4</xdr:row>
      <xdr:rowOff>57150</xdr:rowOff>
    </xdr:to>
    <xdr:sp macro="" textlink="Analysis!A15">
      <xdr:nvSpPr>
        <xdr:cNvPr id="53" name="TextBox 52">
          <a:extLst>
            <a:ext uri="{FF2B5EF4-FFF2-40B4-BE49-F238E27FC236}">
              <a16:creationId xmlns:a16="http://schemas.microsoft.com/office/drawing/2014/main" id="{57DA5DF7-BD86-4BD3-8C4C-DEA26DE5DFCF}"/>
            </a:ext>
          </a:extLst>
        </xdr:cNvPr>
        <xdr:cNvSpPr txBox="1"/>
      </xdr:nvSpPr>
      <xdr:spPr>
        <a:xfrm>
          <a:off x="9267825" y="419100"/>
          <a:ext cx="13049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307339-5223-4527-9FA0-62D28A0CFB7F}" type="TxLink">
            <a:rPr lang="en-US" sz="2000" b="1" i="0" u="none" strike="noStrike">
              <a:solidFill>
                <a:srgbClr val="C00000"/>
              </a:solidFill>
              <a:latin typeface="Calibri"/>
              <a:ea typeface="+mn-ea"/>
              <a:cs typeface="Calibri"/>
            </a:rPr>
            <a:pPr marL="0" indent="0" algn="ctr"/>
            <a:t>9,983</a:t>
          </a:fld>
          <a:endParaRPr lang="en-IN" sz="2000" b="1" i="0" u="none" strike="noStrike">
            <a:solidFill>
              <a:srgbClr val="C00000"/>
            </a:solidFill>
            <a:latin typeface="Calibri"/>
            <a:ea typeface="+mn-ea"/>
            <a:cs typeface="Calibri"/>
          </a:endParaRPr>
        </a:p>
      </xdr:txBody>
    </xdr:sp>
    <xdr:clientData/>
  </xdr:twoCellAnchor>
  <xdr:twoCellAnchor>
    <xdr:from>
      <xdr:col>18</xdr:col>
      <xdr:colOff>247650</xdr:colOff>
      <xdr:row>2</xdr:row>
      <xdr:rowOff>47625</xdr:rowOff>
    </xdr:from>
    <xdr:to>
      <xdr:col>20</xdr:col>
      <xdr:colOff>333375</xdr:colOff>
      <xdr:row>4</xdr:row>
      <xdr:rowOff>66675</xdr:rowOff>
    </xdr:to>
    <xdr:sp macro="" textlink="Analysis!E9">
      <xdr:nvSpPr>
        <xdr:cNvPr id="54" name="TextBox 53">
          <a:extLst>
            <a:ext uri="{FF2B5EF4-FFF2-40B4-BE49-F238E27FC236}">
              <a16:creationId xmlns:a16="http://schemas.microsoft.com/office/drawing/2014/main" id="{5AF80701-97C1-4A44-ACC6-B483687521ED}"/>
            </a:ext>
          </a:extLst>
        </xdr:cNvPr>
        <xdr:cNvSpPr txBox="1"/>
      </xdr:nvSpPr>
      <xdr:spPr>
        <a:xfrm>
          <a:off x="11220450" y="428625"/>
          <a:ext cx="13049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223687-6490-4B15-8C59-437C4D4C1A1A}" type="TxLink">
            <a:rPr lang="en-US" sz="2000" b="1" i="0" u="none" strike="noStrike">
              <a:solidFill>
                <a:srgbClr val="C00000"/>
              </a:solidFill>
              <a:latin typeface="Calibri"/>
              <a:ea typeface="+mn-ea"/>
              <a:cs typeface="Calibri"/>
            </a:rPr>
            <a:pPr marL="0" indent="0" algn="ctr"/>
            <a:t>4</a:t>
          </a:fld>
          <a:endParaRPr lang="en-IN" sz="2000" b="1" i="0" u="none" strike="noStrike">
            <a:solidFill>
              <a:srgbClr val="C00000"/>
            </a:solidFill>
            <a:latin typeface="Calibri"/>
            <a:ea typeface="+mn-ea"/>
            <a:cs typeface="Calibri"/>
          </a:endParaRPr>
        </a:p>
      </xdr:txBody>
    </xdr:sp>
    <xdr:clientData/>
  </xdr:twoCellAnchor>
  <xdr:twoCellAnchor>
    <xdr:from>
      <xdr:col>13</xdr:col>
      <xdr:colOff>523876</xdr:colOff>
      <xdr:row>4</xdr:row>
      <xdr:rowOff>161925</xdr:rowOff>
    </xdr:from>
    <xdr:to>
      <xdr:col>20</xdr:col>
      <xdr:colOff>314326</xdr:colOff>
      <xdr:row>18</xdr:row>
      <xdr:rowOff>19050</xdr:rowOff>
    </xdr:to>
    <xdr:graphicFrame macro="">
      <xdr:nvGraphicFramePr>
        <xdr:cNvPr id="30" name="Chart 29">
          <a:extLst>
            <a:ext uri="{FF2B5EF4-FFF2-40B4-BE49-F238E27FC236}">
              <a16:creationId xmlns:a16="http://schemas.microsoft.com/office/drawing/2014/main" id="{6CDFD89C-C93F-4645-836F-C6A951B0C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293914</xdr:colOff>
      <xdr:row>4</xdr:row>
      <xdr:rowOff>161925</xdr:rowOff>
    </xdr:from>
    <xdr:to>
      <xdr:col>13</xdr:col>
      <xdr:colOff>485775</xdr:colOff>
      <xdr:row>18</xdr:row>
      <xdr:rowOff>19050</xdr:rowOff>
    </xdr:to>
    <xdr:graphicFrame macro="">
      <xdr:nvGraphicFramePr>
        <xdr:cNvPr id="31" name="Chart 30">
          <a:extLst>
            <a:ext uri="{FF2B5EF4-FFF2-40B4-BE49-F238E27FC236}">
              <a16:creationId xmlns:a16="http://schemas.microsoft.com/office/drawing/2014/main" id="{7EFF306C-632C-4CCC-AA73-C1E3FA576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413657</xdr:colOff>
      <xdr:row>4</xdr:row>
      <xdr:rowOff>161925</xdr:rowOff>
    </xdr:from>
    <xdr:to>
      <xdr:col>7</xdr:col>
      <xdr:colOff>266700</xdr:colOff>
      <xdr:row>18</xdr:row>
      <xdr:rowOff>19050</xdr:rowOff>
    </xdr:to>
    <xdr:graphicFrame macro="">
      <xdr:nvGraphicFramePr>
        <xdr:cNvPr id="32" name="Chart 31">
          <a:extLst>
            <a:ext uri="{FF2B5EF4-FFF2-40B4-BE49-F238E27FC236}">
              <a16:creationId xmlns:a16="http://schemas.microsoft.com/office/drawing/2014/main" id="{0CD3620C-82BA-4B37-AC9D-F1B5840F7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18</xdr:row>
      <xdr:rowOff>57150</xdr:rowOff>
    </xdr:from>
    <xdr:to>
      <xdr:col>14</xdr:col>
      <xdr:colOff>390526</xdr:colOff>
      <xdr:row>32</xdr:row>
      <xdr:rowOff>133350</xdr:rowOff>
    </xdr:to>
    <xdr:graphicFrame macro="">
      <xdr:nvGraphicFramePr>
        <xdr:cNvPr id="33" name="Chart 32">
          <a:extLst>
            <a:ext uri="{FF2B5EF4-FFF2-40B4-BE49-F238E27FC236}">
              <a16:creationId xmlns:a16="http://schemas.microsoft.com/office/drawing/2014/main" id="{78D7EFE5-0347-430C-B179-7F8E81C88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409575</xdr:colOff>
      <xdr:row>18</xdr:row>
      <xdr:rowOff>57150</xdr:rowOff>
    </xdr:from>
    <xdr:to>
      <xdr:col>9</xdr:col>
      <xdr:colOff>342900</xdr:colOff>
      <xdr:row>32</xdr:row>
      <xdr:rowOff>133350</xdr:rowOff>
    </xdr:to>
    <xdr:graphicFrame macro="">
      <xdr:nvGraphicFramePr>
        <xdr:cNvPr id="55" name="Chart 54">
          <a:extLst>
            <a:ext uri="{FF2B5EF4-FFF2-40B4-BE49-F238E27FC236}">
              <a16:creationId xmlns:a16="http://schemas.microsoft.com/office/drawing/2014/main" id="{B91AF1AF-9E2C-4F09-8F95-EF471A5E0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433387</xdr:colOff>
      <xdr:row>18</xdr:row>
      <xdr:rowOff>57150</xdr:rowOff>
    </xdr:from>
    <xdr:to>
      <xdr:col>20</xdr:col>
      <xdr:colOff>323850</xdr:colOff>
      <xdr:row>32</xdr:row>
      <xdr:rowOff>133350</xdr:rowOff>
    </xdr:to>
    <mc:AlternateContent xmlns:mc="http://schemas.openxmlformats.org/markup-compatibility/2006">
      <mc:Choice xmlns:cx1="http://schemas.microsoft.com/office/drawing/2015/9/8/chartex" Requires="cx1">
        <xdr:graphicFrame macro="">
          <xdr:nvGraphicFramePr>
            <xdr:cNvPr id="56" name="Chart 55">
              <a:extLst>
                <a:ext uri="{FF2B5EF4-FFF2-40B4-BE49-F238E27FC236}">
                  <a16:creationId xmlns:a16="http://schemas.microsoft.com/office/drawing/2014/main" id="{46B5E03D-DE4D-4544-AE78-73506BE00B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967787" y="3486150"/>
              <a:ext cx="3548063"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47625</xdr:colOff>
      <xdr:row>4</xdr:row>
      <xdr:rowOff>161925</xdr:rowOff>
    </xdr:from>
    <xdr:to>
      <xdr:col>2</xdr:col>
      <xdr:colOff>381000</xdr:colOff>
      <xdr:row>32</xdr:row>
      <xdr:rowOff>136922</xdr:rowOff>
    </xdr:to>
    <xdr:sp macro="" textlink="">
      <xdr:nvSpPr>
        <xdr:cNvPr id="57" name="Rectangle: Rounded Corners 56">
          <a:extLst>
            <a:ext uri="{FF2B5EF4-FFF2-40B4-BE49-F238E27FC236}">
              <a16:creationId xmlns:a16="http://schemas.microsoft.com/office/drawing/2014/main" id="{7923F619-A411-42F4-B5EE-0C4339FA00E1}"/>
            </a:ext>
          </a:extLst>
        </xdr:cNvPr>
        <xdr:cNvSpPr/>
      </xdr:nvSpPr>
      <xdr:spPr>
        <a:xfrm>
          <a:off x="47625" y="923925"/>
          <a:ext cx="1547813" cy="5308997"/>
        </a:xfrm>
        <a:prstGeom prst="roundRect">
          <a:avLst>
            <a:gd name="adj"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5</xdr:row>
      <xdr:rowOff>19051</xdr:rowOff>
    </xdr:from>
    <xdr:to>
      <xdr:col>2</xdr:col>
      <xdr:colOff>434578</xdr:colOff>
      <xdr:row>10</xdr:row>
      <xdr:rowOff>57150</xdr:rowOff>
    </xdr:to>
    <xdr:pic>
      <xdr:nvPicPr>
        <xdr:cNvPr id="5" name="Picture 4">
          <a:extLst>
            <a:ext uri="{FF2B5EF4-FFF2-40B4-BE49-F238E27FC236}">
              <a16:creationId xmlns:a16="http://schemas.microsoft.com/office/drawing/2014/main" id="{103CCF03-F0DC-476C-89A3-F34FA75C6273}"/>
            </a:ext>
          </a:extLst>
        </xdr:cNvPr>
        <xdr:cNvPicPr>
          <a:picLocks noChangeAspect="1"/>
        </xdr:cNvPicPr>
      </xdr:nvPicPr>
      <xdr:blipFill>
        <a:blip xmlns:r="http://schemas.openxmlformats.org/officeDocument/2006/relationships" r:embed="rId7"/>
        <a:stretch>
          <a:fillRect/>
        </a:stretch>
      </xdr:blipFill>
      <xdr:spPr>
        <a:xfrm>
          <a:off x="0" y="971551"/>
          <a:ext cx="1649016" cy="990599"/>
        </a:xfrm>
        <a:prstGeom prst="rect">
          <a:avLst/>
        </a:prstGeom>
      </xdr:spPr>
    </xdr:pic>
    <xdr:clientData/>
  </xdr:twoCellAnchor>
  <xdr:twoCellAnchor editAs="oneCell">
    <xdr:from>
      <xdr:col>1</xdr:col>
      <xdr:colOff>161925</xdr:colOff>
      <xdr:row>8</xdr:row>
      <xdr:rowOff>157162</xdr:rowOff>
    </xdr:from>
    <xdr:to>
      <xdr:col>2</xdr:col>
      <xdr:colOff>172640</xdr:colOff>
      <xdr:row>11</xdr:row>
      <xdr:rowOff>114300</xdr:rowOff>
    </xdr:to>
    <xdr:pic>
      <xdr:nvPicPr>
        <xdr:cNvPr id="59" name="Picture 58" descr="Forage Logo">
          <a:extLst>
            <a:ext uri="{FF2B5EF4-FFF2-40B4-BE49-F238E27FC236}">
              <a16:creationId xmlns:a16="http://schemas.microsoft.com/office/drawing/2014/main" id="{ED4046D1-B568-4A86-B0BC-B2C0AC740EEE}"/>
            </a:ext>
          </a:extLst>
        </xdr:cNvPr>
        <xdr:cNvPicPr>
          <a:picLocks noChangeAspect="1" noChangeArrowheads="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3135" b="98656" l="3303" r="97380">
                      <a14:foregroundMark x1="53986" y1="3583" x2="53986" y2="3583"/>
                      <a14:foregroundMark x1="3303" y1="61590" x2="3303" y2="61590"/>
                      <a14:foregroundMark x1="21526" y1="69765" x2="21526" y2="69765"/>
                      <a14:foregroundMark x1="35194" y1="71221" x2="35194" y2="71221"/>
                      <a14:foregroundMark x1="57973" y1="71221" x2="57973" y2="71221"/>
                      <a14:foregroundMark x1="67882" y1="71221" x2="67882" y2="71221"/>
                      <a14:foregroundMark x1="97608" y1="72676" x2="97608" y2="72676"/>
                      <a14:foregroundMark x1="79271" y1="94289" x2="79271" y2="94289"/>
                      <a14:foregroundMark x1="71754" y1="98656" x2="71754" y2="98656"/>
                      <a14:backgroundMark x1="38724" y1="19149" x2="38724" y2="19149"/>
                      <a14:backgroundMark x1="66287" y1="19149" x2="66287" y2="19149"/>
                      <a14:backgroundMark x1="43394" y1="46137" x2="58656" y2="43113"/>
                      <a14:backgroundMark x1="54100" y1="40090" x2="55581" y2="31131"/>
                      <a14:backgroundMark x1="58656" y1="22172" x2="58656" y2="22172"/>
                      <a14:backgroundMark x1="23462" y1="16125" x2="23462" y2="16125"/>
                      <a14:backgroundMark x1="58656" y1="20605" x2="60251" y2="19149"/>
                      <a14:backgroundMark x1="64806" y1="16125" x2="61731" y2="35610"/>
                      <a14:backgroundMark x1="72437" y1="11646" x2="60251" y2="20605"/>
                      <a14:backgroundMark x1="55581" y1="8735" x2="24943" y2="14670"/>
                      <a14:backgroundMark x1="47950" y1="11646" x2="23462" y2="16125"/>
                      <a14:backgroundMark x1="61731" y1="7167" x2="38724" y2="1232"/>
                      <a14:backgroundMark x1="27273" y1="45133" x2="77273" y2="41593"/>
                      <a14:backgroundMark x1="51515" y1="33628" x2="51515" y2="33628"/>
                      <a14:backgroundMark x1="58333" y1="19469" x2="53030" y2="5310"/>
                      <a14:backgroundMark x1="37121" y1="21239" x2="32576" y2="21239"/>
                      <a14:backgroundMark x1="27273" y1="21239" x2="27273" y2="21239"/>
                      <a14:backgroundMark x1="28788" y1="16814" x2="28788" y2="16814"/>
                      <a14:backgroundMark x1="27273" y1="19469" x2="27273" y2="19469"/>
                      <a14:backgroundMark x1="27273" y1="19469" x2="27273" y2="19469"/>
                      <a14:backgroundMark x1="25000" y1="21239" x2="25000" y2="21239"/>
                      <a14:backgroundMark x1="25000" y1="21239" x2="25000" y2="21239"/>
                      <a14:backgroundMark x1="42424" y1="19469" x2="28788" y2="19469"/>
                      <a14:backgroundMark x1="42424" y1="15044" x2="47727" y2="21239"/>
                    </a14:backgroundRemoval>
                  </a14:imgEffect>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771525" y="1681162"/>
          <a:ext cx="620315" cy="528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66675</xdr:colOff>
      <xdr:row>15</xdr:row>
      <xdr:rowOff>114300</xdr:rowOff>
    </xdr:from>
    <xdr:to>
      <xdr:col>2</xdr:col>
      <xdr:colOff>333375</xdr:colOff>
      <xdr:row>23</xdr:row>
      <xdr:rowOff>28575</xdr:rowOff>
    </xdr:to>
    <mc:AlternateContent xmlns:mc="http://schemas.openxmlformats.org/markup-compatibility/2006">
      <mc:Choice xmlns:a14="http://schemas.microsoft.com/office/drawing/2010/main" Requires="a14">
        <xdr:graphicFrame macro="">
          <xdr:nvGraphicFramePr>
            <xdr:cNvPr id="60" name="Account Type 1">
              <a:extLst>
                <a:ext uri="{FF2B5EF4-FFF2-40B4-BE49-F238E27FC236}">
                  <a16:creationId xmlns:a16="http://schemas.microsoft.com/office/drawing/2014/main" id="{87C42517-2AEA-4B7D-8BF7-0AF493A17E4F}"/>
                </a:ext>
              </a:extLst>
            </xdr:cNvPr>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dr:sp macro="" textlink="">
          <xdr:nvSpPr>
            <xdr:cNvPr id="0" name=""/>
            <xdr:cNvSpPr>
              <a:spLocks noTextEdit="1"/>
            </xdr:cNvSpPr>
          </xdr:nvSpPr>
          <xdr:spPr>
            <a:xfrm>
              <a:off x="66675" y="2971800"/>
              <a:ext cx="148590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23</xdr:row>
      <xdr:rowOff>57150</xdr:rowOff>
    </xdr:from>
    <xdr:to>
      <xdr:col>2</xdr:col>
      <xdr:colOff>333375</xdr:colOff>
      <xdr:row>32</xdr:row>
      <xdr:rowOff>85725</xdr:rowOff>
    </xdr:to>
    <mc:AlternateContent xmlns:mc="http://schemas.openxmlformats.org/markup-compatibility/2006">
      <mc:Choice xmlns:a14="http://schemas.microsoft.com/office/drawing/2010/main" Requires="a14">
        <xdr:graphicFrame macro="">
          <xdr:nvGraphicFramePr>
            <xdr:cNvPr id="58" name="Year  1">
              <a:extLst>
                <a:ext uri="{FF2B5EF4-FFF2-40B4-BE49-F238E27FC236}">
                  <a16:creationId xmlns:a16="http://schemas.microsoft.com/office/drawing/2014/main" id="{B309BEB7-3F8B-4E74-AF61-92E4A2A1D29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6675" y="4438650"/>
              <a:ext cx="148590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190501</xdr:colOff>
      <xdr:row>11</xdr:row>
      <xdr:rowOff>180975</xdr:rowOff>
    </xdr:from>
    <xdr:to>
      <xdr:col>1</xdr:col>
      <xdr:colOff>542925</xdr:colOff>
      <xdr:row>15</xdr:row>
      <xdr:rowOff>20240</xdr:rowOff>
    </xdr:to>
    <xdr:pic>
      <xdr:nvPicPr>
        <xdr:cNvPr id="11" name="Picture 10">
          <a:hlinkClick xmlns:r="http://schemas.openxmlformats.org/officeDocument/2006/relationships" r:id="rId10"/>
          <a:extLst>
            <a:ext uri="{FF2B5EF4-FFF2-40B4-BE49-F238E27FC236}">
              <a16:creationId xmlns:a16="http://schemas.microsoft.com/office/drawing/2014/main" id="{31D2EE0E-F571-4AF9-B7EE-88E1209D73F5}"/>
            </a:ext>
          </a:extLst>
        </xdr:cNvPr>
        <xdr:cNvPicPr>
          <a:picLocks noChangeAspect="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190501" y="2276475"/>
          <a:ext cx="962024" cy="60126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55.932721064812" createdVersion="6" refreshedVersion="6" minRefreshableVersion="3" recordCount="61" xr:uid="{4DC8A594-FDB5-4393-A96C-DFAB94742FB4}">
  <cacheSource type="worksheet">
    <worksheetSource ref="A4:T65" sheet="Data "/>
  </cacheSource>
  <cacheFields count="20">
    <cacheField name="Account Name" numFmtId="0">
      <sharedItems containsBlank="1" count="61">
        <s v="MB 7"/>
        <s v="OR 7"/>
        <s v="WD 6"/>
        <s v="SB 3"/>
        <s v="WD 5"/>
        <s v="SB 8"/>
        <s v="WD 13"/>
        <s v="WD 9"/>
        <s v="OR 12"/>
        <s v="OR 4"/>
        <s v="MB 10"/>
        <s v="MB 9"/>
        <s v="OR 5"/>
        <s v="SB 4"/>
        <s v="OR 6"/>
        <s v="WD 7"/>
        <s v="SB 14"/>
        <s v="MB 3"/>
        <s v="MB 1"/>
        <s v="OR 9"/>
        <s v="SB 1"/>
        <s v="WD 2"/>
        <s v="OR 14"/>
        <s v="OR 1"/>
        <s v="SB 6"/>
        <s v="OR 2"/>
        <s v="MB 14"/>
        <s v="SB 13"/>
        <s v="MB 12"/>
        <s v="OR 15"/>
        <s v="MB 6"/>
        <s v="WD 3"/>
        <s v="MB 5"/>
        <s v="WD 15"/>
        <s v="MB 2"/>
        <s v="OR 10"/>
        <s v="SB 2"/>
        <s v="OR 3"/>
        <s v="WD 14"/>
        <s v="WD 11"/>
        <s v="SB 10"/>
        <s v="SB 5"/>
        <s v="SB 12"/>
        <s v="WD 10"/>
        <s v="WD 8"/>
        <s v="MB 15"/>
        <s v="OR 13"/>
        <s v="MB 13"/>
        <s v="MB 4"/>
        <s v="WD 12"/>
        <s v="SB 9"/>
        <s v="SB 11"/>
        <s v="WD 4"/>
        <s v="OR 8"/>
        <s v="MB 11"/>
        <s v="OR 11"/>
        <s v="MB 8"/>
        <s v="SB 15"/>
        <s v="SB 7"/>
        <s v="WD 1"/>
        <m/>
      </sharedItems>
    </cacheField>
    <cacheField name="Account Address" numFmtId="0">
      <sharedItems containsBlank="1"/>
    </cacheField>
    <cacheField name="Year" numFmtId="0">
      <sharedItems containsBlank="1" count="2">
        <s v="2017-21"/>
        <m/>
      </sharedItems>
    </cacheField>
    <cacheField name="Decision Maker" numFmtId="0">
      <sharedItems containsBlank="1" count="61">
        <s v="Charlotte Leroux"/>
        <s v="Juan Scott"/>
        <s v="Ray Hernandez"/>
        <s v="Vin Hudson"/>
        <s v="Andre Mobley"/>
        <s v="Juanita Wisozk"/>
        <s v="Shameka West"/>
        <s v="Danielle Tomas"/>
        <s v="Shaun Salvatore"/>
        <s v="Brooke Hayes"/>
        <s v="Kathy Rogers"/>
        <s v="Mia Ang"/>
        <s v="Lee Niemeyer"/>
        <s v="Susana Huels"/>
        <s v="Stephen Harris"/>
        <s v="Thomas Stewart"/>
        <s v="Debra Kroll"/>
        <s v="Christopher Evans"/>
        <s v="Dan Hill"/>
        <s v="Dominique Johnson"/>
        <s v="Dorothy Rizzo"/>
        <s v="Craig Collins"/>
        <s v="Maria Sawyer"/>
        <s v="John Mackey"/>
        <s v="Roy McGlynn"/>
        <s v="Raymond Heywin"/>
        <s v="Deshaun Fletcher"/>
        <s v="Tim Young"/>
        <s v="Mel Berkowitz"/>
        <s v="Darnell Straughter"/>
        <s v="Anthony Brooks"/>
        <s v="Donna Lam"/>
        <s v="Bill Callahan"/>
        <s v="Anna Grey"/>
        <s v="Javier George"/>
        <s v="Larry Alaimo"/>
        <s v="Lawson Moore"/>
        <s v="Janie Roberson"/>
        <s v="Kevin Fleming"/>
        <s v="Carlos Jackson"/>
        <s v="Holly Gaines"/>
        <s v="Shanna Hettinger"/>
        <s v="Jeffrey Akins"/>
        <s v="Joe Schimke"/>
        <s v="Henry Lange"/>
        <s v="Kari Lenz"/>
        <s v="Annie Fuentes"/>
        <s v="Debra Martin"/>
        <s v="Julie Ross"/>
        <s v="Russell Wallace"/>
        <s v="Velma Riley"/>
        <s v="Gary Brown"/>
        <s v="Teresa Vasbinder"/>
        <s v="Kurt Issacs"/>
        <s v="Rita Varga"/>
        <s v="Carlos Moya"/>
        <s v="Nina Coulter"/>
        <s v="Kelly Boyd"/>
        <s v="Lorena Posacco"/>
        <s v="Richard Breaux"/>
        <m/>
      </sharedItems>
    </cacheField>
    <cacheField name="Phone Number" numFmtId="0">
      <sharedItems containsBlank="1"/>
    </cacheField>
    <cacheField name="Account Type" numFmtId="0">
      <sharedItems containsBlank="1" count="5">
        <s v="Medium Business"/>
        <s v="Online Retailer"/>
        <s v="Wholesale Distributor"/>
        <s v="Small Business"/>
        <m/>
      </sharedItems>
    </cacheField>
    <cacheField name="Product 1" numFmtId="0">
      <sharedItems containsBlank="1"/>
    </cacheField>
    <cacheField name="Product 2" numFmtId="0">
      <sharedItems containsBlank="1"/>
    </cacheField>
    <cacheField name="Product 3" numFmtId="0">
      <sharedItems containsBlank="1"/>
    </cacheField>
    <cacheField name="Social Media" numFmtId="0">
      <sharedItems containsBlank="1"/>
    </cacheField>
    <cacheField name="Coupons" numFmtId="0">
      <sharedItems containsBlank="1"/>
    </cacheField>
    <cacheField name="Catalog Inclusion" numFmtId="0">
      <sharedItems containsBlank="1"/>
    </cacheField>
    <cacheField name="Posters" numFmtId="0">
      <sharedItems containsBlank="1"/>
    </cacheField>
    <cacheField name="2017" numFmtId="0">
      <sharedItems containsString="0" containsBlank="1" containsNumber="1" containsInteger="1" minValue="24" maxValue="9791"/>
    </cacheField>
    <cacheField name="2018" numFmtId="0">
      <sharedItems containsString="0" containsBlank="1" containsNumber="1" containsInteger="1" minValue="286" maxValue="9610"/>
    </cacheField>
    <cacheField name="2019" numFmtId="0">
      <sharedItems containsString="0" containsBlank="1" containsNumber="1" containsInteger="1" minValue="747" maxValue="8390"/>
    </cacheField>
    <cacheField name="2020" numFmtId="0">
      <sharedItems containsString="0" containsBlank="1" containsNumber="1" containsInteger="1" minValue="338" maxValue="9024"/>
    </cacheField>
    <cacheField name="2021" numFmtId="0">
      <sharedItems containsString="0" containsBlank="1" containsNumber="1" containsInteger="1" minValue="44" maxValue="9983"/>
    </cacheField>
    <cacheField name="Total sales" numFmtId="0">
      <sharedItems containsString="0" containsBlank="1" containsNumber="1" containsInteger="1" minValue="8676" maxValue="39413"/>
    </cacheField>
    <cacheField name="5 YR CAGR" numFmtId="9">
      <sharedItems containsString="0" containsBlank="1" containsNumber="1" minValue="-0.72898466539472961" maxValue="3.3498147004699526"/>
    </cacheField>
  </cacheFields>
  <extLst>
    <ext xmlns:x14="http://schemas.microsoft.com/office/spreadsheetml/2009/9/main" uri="{725AE2AE-9491-48be-B2B4-4EB974FC3084}">
      <x14:pivotCacheDefinition pivotCacheId="17247799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56.500676967589" createdVersion="6" refreshedVersion="6" minRefreshableVersion="3" recordCount="5" xr:uid="{094EED11-9FC7-436F-BADB-51D4E33DB560}">
  <cacheSource type="worksheet">
    <worksheetSource ref="A67:B72" sheet="Data "/>
  </cacheSource>
  <cacheFields count="2">
    <cacheField name="Year " numFmtId="0">
      <sharedItems containsSemiMixedTypes="0" containsString="0" containsNumber="1" containsInteger="1" minValue="2017" maxValue="2021" count="5">
        <n v="2017"/>
        <n v="2018"/>
        <n v="2019"/>
        <n v="2020"/>
        <n v="2021"/>
      </sharedItems>
    </cacheField>
    <cacheField name="Total Sales" numFmtId="0">
      <sharedItems containsSemiMixedTypes="0" containsString="0" containsNumber="1" containsInteger="1" minValue="189976" maxValue="409194"/>
    </cacheField>
  </cacheFields>
  <extLst>
    <ext xmlns:x14="http://schemas.microsoft.com/office/spreadsheetml/2009/9/main" uri="{725AE2AE-9491-48be-B2B4-4EB974FC3084}">
      <x14:pivotCacheDefinition pivotCacheId="2138561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s v="323 North Edgewood St, Bronx NY 10457"/>
    <x v="0"/>
    <x v="0"/>
    <s v="(784) 634-6873"/>
    <x v="0"/>
    <s v="Yes"/>
    <s v="Yes"/>
    <s v="No"/>
    <s v="Yes"/>
    <s v="No"/>
    <s v="Yes"/>
    <s v="No"/>
    <n v="1368"/>
    <n v="3447"/>
    <n v="4535"/>
    <n v="5476"/>
    <n v="9983"/>
    <n v="24809"/>
    <n v="0.64359095818904954"/>
  </r>
  <r>
    <x v="1"/>
    <s v="640 Beechwood Dr, Bronx NY 10461"/>
    <x v="0"/>
    <x v="1"/>
    <s v="(357) 532-0838"/>
    <x v="1"/>
    <s v="Yes"/>
    <s v="Yes"/>
    <s v="Yes"/>
    <s v="Yes"/>
    <s v="Yes"/>
    <s v="Yes"/>
    <s v="Yes"/>
    <n v="742"/>
    <n v="3751"/>
    <n v="4423"/>
    <n v="8733"/>
    <n v="9909"/>
    <n v="27558"/>
    <n v="0.91164163510334228"/>
  </r>
  <r>
    <x v="2"/>
    <s v="18 N. Woodland Ave, New York NY 10025"/>
    <x v="0"/>
    <x v="2"/>
    <s v="(609) 345-8163"/>
    <x v="2"/>
    <s v="Yes"/>
    <s v="Yes"/>
    <s v="Yes"/>
    <s v="No"/>
    <s v="No"/>
    <s v="Yes"/>
    <s v="No"/>
    <n v="1497"/>
    <n v="1768"/>
    <n v="2804"/>
    <n v="5718"/>
    <n v="9822"/>
    <n v="21609"/>
    <n v="0.60045892388204325"/>
  </r>
  <r>
    <x v="3"/>
    <s v="2285 Ladybug Drive, New York NY 10013"/>
    <x v="0"/>
    <x v="3"/>
    <s v="(952) 952-5573"/>
    <x v="3"/>
    <s v="Yes"/>
    <s v="Yes"/>
    <s v="Yes"/>
    <s v="Yes"/>
    <s v="Yes"/>
    <s v="Yes"/>
    <s v="Yes"/>
    <n v="1209"/>
    <n v="1534"/>
    <n v="1634"/>
    <n v="4302"/>
    <n v="9768"/>
    <n v="18447"/>
    <n v="0.68595057009486848"/>
  </r>
  <r>
    <x v="4"/>
    <s v="21 Yukon St, Bronx NY 10451"/>
    <x v="0"/>
    <x v="4"/>
    <s v="(597) 701-9429"/>
    <x v="2"/>
    <s v="Yes"/>
    <s v="Yes"/>
    <s v="Yes"/>
    <s v="No"/>
    <s v="No"/>
    <s v="Yes"/>
    <s v="No"/>
    <n v="870"/>
    <n v="2428"/>
    <n v="7386"/>
    <n v="8835"/>
    <n v="9766"/>
    <n v="29285"/>
    <n v="0.83041416010220881"/>
  </r>
  <r>
    <x v="5"/>
    <s v="8735 Squaw Creek Drive, Brooklyn NY 11214"/>
    <x v="0"/>
    <x v="5"/>
    <s v="(305) 531-1310"/>
    <x v="3"/>
    <s v="Yes"/>
    <s v="No"/>
    <s v="Yes"/>
    <s v="Yes"/>
    <s v="No"/>
    <s v="Yes"/>
    <s v="No"/>
    <n v="1581"/>
    <n v="4799"/>
    <n v="6582"/>
    <n v="9024"/>
    <n v="9759"/>
    <n v="31745"/>
    <n v="0.57622554654037406"/>
  </r>
  <r>
    <x v="6"/>
    <s v="2 Rock Maple Ave, New York NY 10029"/>
    <x v="0"/>
    <x v="6"/>
    <s v="(488) 656-0761"/>
    <x v="2"/>
    <s v="Yes"/>
    <s v="Yes"/>
    <s v="Yes"/>
    <s v="No"/>
    <s v="No"/>
    <s v="No"/>
    <s v="No"/>
    <n v="1263"/>
    <n v="2517"/>
    <n v="8042"/>
    <n v="8222"/>
    <n v="9686"/>
    <n v="29730"/>
    <n v="0.66412244620782168"/>
  </r>
  <r>
    <x v="7"/>
    <s v="8388 Gonzales St, Brooklyn NY 11228"/>
    <x v="0"/>
    <x v="7"/>
    <s v="(459) 261-2301"/>
    <x v="2"/>
    <s v="Yes"/>
    <s v="Yes"/>
    <s v="Yes"/>
    <s v="No"/>
    <s v="No"/>
    <s v="Yes"/>
    <s v="No"/>
    <n v="1357"/>
    <n v="4189"/>
    <n v="5407"/>
    <n v="6233"/>
    <n v="9681"/>
    <n v="26867"/>
    <n v="0.63431246502429839"/>
  </r>
  <r>
    <x v="8"/>
    <s v="9151 River St, Brooklyn NY 11230"/>
    <x v="0"/>
    <x v="8"/>
    <s v="(691) 657-1498"/>
    <x v="1"/>
    <s v="Yes"/>
    <s v="Yes"/>
    <s v="Yes"/>
    <s v="Yes"/>
    <s v="Yes"/>
    <s v="Yes"/>
    <s v="Yes"/>
    <n v="1038"/>
    <n v="3615"/>
    <n v="3712"/>
    <n v="5819"/>
    <n v="9589"/>
    <n v="23773"/>
    <n v="0.74338775485751718"/>
  </r>
  <r>
    <x v="9"/>
    <s v="62 Lafayette Ave, Bronx NY 10462"/>
    <x v="0"/>
    <x v="9"/>
    <s v="(247) 999-3394"/>
    <x v="1"/>
    <s v="Yes"/>
    <s v="Yes"/>
    <s v="Yes"/>
    <s v="No"/>
    <s v="No"/>
    <s v="Yes"/>
    <s v="Yes"/>
    <n v="3297"/>
    <n v="4866"/>
    <n v="4928"/>
    <n v="8451"/>
    <n v="9585"/>
    <n v="31127"/>
    <n v="0.30577482876902251"/>
  </r>
  <r>
    <x v="10"/>
    <s v="267 Randall Mill Dr, New York NY 10033"/>
    <x v="0"/>
    <x v="10"/>
    <s v="(939) 738-6471"/>
    <x v="0"/>
    <s v="Yes"/>
    <s v="Yes"/>
    <s v="No"/>
    <s v="Yes"/>
    <s v="Yes"/>
    <s v="Yes"/>
    <s v="No"/>
    <n v="570"/>
    <n v="1322"/>
    <n v="7279"/>
    <n v="8443"/>
    <n v="9571"/>
    <n v="27185"/>
    <n v="1.0242801438529217"/>
  </r>
  <r>
    <x v="11"/>
    <s v="861 Gonzales Lane, Bronx NY 10472"/>
    <x v="0"/>
    <x v="11"/>
    <s v="(253) 861-1301"/>
    <x v="0"/>
    <s v="Yes"/>
    <s v="Yes"/>
    <s v="No"/>
    <s v="Yes"/>
    <s v="Yes"/>
    <s v="Yes"/>
    <s v="No"/>
    <n v="1779"/>
    <n v="2124"/>
    <n v="2844"/>
    <n v="6877"/>
    <n v="9570"/>
    <n v="23194"/>
    <n v="0.52294422157633269"/>
  </r>
  <r>
    <x v="12"/>
    <s v="7839 Elm St, Staten Island NY 10306"/>
    <x v="0"/>
    <x v="12"/>
    <s v="(920) 451-3973"/>
    <x v="1"/>
    <s v="Yes"/>
    <s v="Yes"/>
    <s v="Yes"/>
    <s v="Yes"/>
    <s v="Yes"/>
    <s v="Yes"/>
    <s v="Yes"/>
    <n v="1092"/>
    <n v="3140"/>
    <n v="4123"/>
    <n v="4366"/>
    <n v="9482"/>
    <n v="22203"/>
    <n v="0.71660086943635504"/>
  </r>
  <r>
    <x v="13"/>
    <s v="2930 Southern Street, New York NY 10005"/>
    <x v="0"/>
    <x v="13"/>
    <s v="(491) 505-6064"/>
    <x v="3"/>
    <s v="Yes"/>
    <s v="Yes"/>
    <s v="Yes"/>
    <s v="Yes"/>
    <s v="Yes"/>
    <s v="Yes"/>
    <s v="Yes"/>
    <n v="906"/>
    <n v="1251"/>
    <n v="2897"/>
    <n v="4499"/>
    <n v="9428"/>
    <n v="18981"/>
    <n v="0.79606828454142997"/>
  </r>
  <r>
    <x v="14"/>
    <s v="429 Stonybrook Dr, Brooklyn NY 11203"/>
    <x v="0"/>
    <x v="14"/>
    <s v="(258) 948-7479"/>
    <x v="1"/>
    <s v="Yes"/>
    <s v="Yes"/>
    <s v="Yes"/>
    <s v="No"/>
    <s v="No"/>
    <s v="Yes"/>
    <s v="Yes"/>
    <n v="2541"/>
    <n v="3794"/>
    <n v="3984"/>
    <n v="8803"/>
    <n v="9338"/>
    <n v="28460"/>
    <n v="0.38456165928272146"/>
  </r>
  <r>
    <x v="15"/>
    <s v="65 Lower River Ave, Bronx NY 10465"/>
    <x v="0"/>
    <x v="15"/>
    <s v="(381) 643-1230"/>
    <x v="2"/>
    <s v="Yes"/>
    <s v="Yes"/>
    <s v="Yes"/>
    <s v="No"/>
    <s v="No"/>
    <s v="Yes"/>
    <s v="No"/>
    <n v="1082"/>
    <n v="3353"/>
    <n v="6351"/>
    <n v="8550"/>
    <n v="9272"/>
    <n v="28608"/>
    <n v="0.71094693671276654"/>
  </r>
  <r>
    <x v="16"/>
    <s v="8156 Lake View Street, New York, NY 10025"/>
    <x v="0"/>
    <x v="16"/>
    <s v="(628) 832-4986"/>
    <x v="3"/>
    <s v="Yes"/>
    <s v="Yes"/>
    <s v="Yes"/>
    <s v="Yes"/>
    <s v="Yes"/>
    <s v="Yes"/>
    <s v="Yes"/>
    <n v="861"/>
    <n v="1314"/>
    <n v="1810"/>
    <n v="6510"/>
    <n v="9271"/>
    <n v="19766"/>
    <n v="0.81146879617010592"/>
  </r>
  <r>
    <x v="17"/>
    <s v="9132 Redwood Rd, Bronx NY 10466"/>
    <x v="0"/>
    <x v="17"/>
    <s v="(831) 406-6300"/>
    <x v="0"/>
    <s v="Yes"/>
    <s v="Yes"/>
    <s v="No"/>
    <s v="Yes"/>
    <s v="No"/>
    <s v="Yes"/>
    <s v="No"/>
    <n v="700"/>
    <n v="5721"/>
    <n v="6247"/>
    <n v="8495"/>
    <n v="9236"/>
    <n v="30399"/>
    <n v="0.90588403033885334"/>
  </r>
  <r>
    <x v="18"/>
    <s v="9848 Linden St, New York NY 10011"/>
    <x v="0"/>
    <x v="18"/>
    <s v="(248) 450-0797"/>
    <x v="0"/>
    <s v="Yes"/>
    <s v="Yes"/>
    <s v="No"/>
    <s v="No"/>
    <s v="No"/>
    <s v="No"/>
    <s v="No"/>
    <n v="3501"/>
    <n v="7079"/>
    <n v="7438"/>
    <n v="7443"/>
    <n v="9225"/>
    <n v="34686"/>
    <n v="0.27407081068210992"/>
  </r>
  <r>
    <x v="19"/>
    <s v="81 San Carlos Road, Bronx NY 10463"/>
    <x v="0"/>
    <x v="19"/>
    <s v="(336) 448-7026"/>
    <x v="1"/>
    <s v="Yes"/>
    <s v="Yes"/>
    <s v="Yes"/>
    <s v="Yes"/>
    <s v="Yes"/>
    <s v="Yes"/>
    <s v="Yes"/>
    <n v="488"/>
    <n v="5535"/>
    <n v="5775"/>
    <n v="7661"/>
    <n v="9206"/>
    <n v="28665"/>
    <n v="1.084072328017021"/>
  </r>
  <r>
    <x v="20"/>
    <s v="2131 Patterson Road, Brooklyn NY 11201"/>
    <x v="0"/>
    <x v="20"/>
    <s v="(880) 283-6803"/>
    <x v="3"/>
    <s v="Yes"/>
    <s v="Yes"/>
    <s v="Yes"/>
    <s v="Yes"/>
    <s v="Yes"/>
    <s v="Yes"/>
    <s v="Yes"/>
    <n v="1982"/>
    <n v="5388"/>
    <n v="7063"/>
    <n v="7208"/>
    <n v="9093"/>
    <n v="30734"/>
    <n v="0.46352749292411066"/>
  </r>
  <r>
    <x v="21"/>
    <s v="815 2nd St, New York NY 10028"/>
    <x v="0"/>
    <x v="21"/>
    <s v="(828) 840-2736"/>
    <x v="2"/>
    <s v="Yes"/>
    <s v="Yes"/>
    <s v="Yes"/>
    <s v="No"/>
    <s v="No"/>
    <s v="Yes"/>
    <s v="No"/>
    <n v="299"/>
    <n v="657"/>
    <n v="6238"/>
    <n v="8922"/>
    <n v="9081"/>
    <n v="25197"/>
    <n v="1.3475541667800686"/>
  </r>
  <r>
    <x v="22"/>
    <s v="81 Crescent St, Brooklyn NY 11210"/>
    <x v="0"/>
    <x v="22"/>
    <s v="(881) 243-5276"/>
    <x v="1"/>
    <s v="Yes"/>
    <s v="Yes"/>
    <s v="Yes"/>
    <s v="Yes"/>
    <s v="No"/>
    <s v="No"/>
    <s v="No"/>
    <n v="1290"/>
    <n v="4033"/>
    <n v="6956"/>
    <n v="7929"/>
    <n v="8834"/>
    <n v="29042"/>
    <n v="0.61767741115573149"/>
  </r>
  <r>
    <x v="23"/>
    <s v="77 Stillwater St, Brooklyn NY 11213"/>
    <x v="0"/>
    <x v="23"/>
    <s v="(831) 581-1892"/>
    <x v="1"/>
    <s v="Yes"/>
    <s v="Yes"/>
    <s v="Yes"/>
    <s v="No"/>
    <s v="No"/>
    <s v="Yes"/>
    <s v="No"/>
    <n v="2519"/>
    <n v="3938"/>
    <n v="5190"/>
    <n v="8203"/>
    <n v="8780"/>
    <n v="28630"/>
    <n v="0.36636455401735013"/>
  </r>
  <r>
    <x v="24"/>
    <s v="7778 Cherry Road, Bronx NY 10467"/>
    <x v="0"/>
    <x v="24"/>
    <s v="(594) 807-4187"/>
    <x v="3"/>
    <s v="Yes"/>
    <s v="Yes"/>
    <s v="Yes"/>
    <s v="No"/>
    <s v="Yes"/>
    <s v="Yes"/>
    <s v="No"/>
    <n v="2341"/>
    <n v="6105"/>
    <n v="7777"/>
    <n v="7891"/>
    <n v="8758"/>
    <n v="32872"/>
    <n v="0.390755806385503"/>
  </r>
  <r>
    <x v="25"/>
    <s v="7061 Bishop St, Yonkers NY 10701"/>
    <x v="0"/>
    <x v="25"/>
    <s v="(571) 843-1746"/>
    <x v="1"/>
    <s v="Yes"/>
    <s v="Yes"/>
    <s v="Yes"/>
    <s v="Yes"/>
    <s v="Yes"/>
    <s v="Yes"/>
    <s v="No"/>
    <n v="138"/>
    <n v="286"/>
    <n v="6750"/>
    <n v="8254"/>
    <n v="8656"/>
    <n v="24084"/>
    <n v="1.8142296888697582"/>
  </r>
  <r>
    <x v="26"/>
    <s v="48 S. Brandywine St, New York NY 10002"/>
    <x v="0"/>
    <x v="26"/>
    <s v="(845) 304-6511"/>
    <x v="0"/>
    <s v="Yes"/>
    <s v="Yes"/>
    <s v="No"/>
    <s v="Yes"/>
    <s v="No"/>
    <s v="Yes"/>
    <s v="No"/>
    <n v="712"/>
    <n v="4182"/>
    <n v="6087"/>
    <n v="7494"/>
    <n v="8599"/>
    <n v="27074"/>
    <n v="0.86419779018759768"/>
  </r>
  <r>
    <x v="27"/>
    <s v="9575 Shipley Court, Brooklyn NY 11201"/>
    <x v="0"/>
    <x v="27"/>
    <s v="(876) 653-1727"/>
    <x v="3"/>
    <s v="Yes"/>
    <s v="No"/>
    <s v="Yes"/>
    <s v="Yes"/>
    <s v="Yes"/>
    <s v="Yes"/>
    <s v="Yes"/>
    <n v="24"/>
    <n v="1797"/>
    <n v="3548"/>
    <n v="3668"/>
    <n v="8592"/>
    <n v="17629"/>
    <n v="3.3498147004699526"/>
  </r>
  <r>
    <x v="28"/>
    <s v="240 W. Manhattan St, Bronx NY 10462"/>
    <x v="0"/>
    <x v="28"/>
    <s v="(967) 547-1542"/>
    <x v="0"/>
    <s v="Yes"/>
    <s v="Yes"/>
    <s v="No"/>
    <s v="Yes"/>
    <s v="Yes"/>
    <s v="Yes"/>
    <s v="No"/>
    <n v="209"/>
    <n v="621"/>
    <n v="3098"/>
    <n v="7118"/>
    <n v="8433"/>
    <n v="19479"/>
    <n v="1.5203389637502625"/>
  </r>
  <r>
    <x v="29"/>
    <s v="7217 Birch Hill Dr, New York NY 10009"/>
    <x v="0"/>
    <x v="29"/>
    <s v="(680) 628-4625"/>
    <x v="1"/>
    <s v="Yes"/>
    <s v="Yes"/>
    <s v="Yes"/>
    <s v="Yes"/>
    <s v="Yes"/>
    <s v="No"/>
    <s v="No"/>
    <n v="431"/>
    <n v="6231"/>
    <n v="7478"/>
    <n v="8039"/>
    <n v="8271"/>
    <n v="30450"/>
    <n v="1.0930046233022455"/>
  </r>
  <r>
    <x v="30"/>
    <s v="6 E. Nichols Ave, New York NY 10027"/>
    <x v="0"/>
    <x v="30"/>
    <s v="(349) 801-7566"/>
    <x v="0"/>
    <s v="Yes"/>
    <s v="Yes"/>
    <s v="No"/>
    <s v="Yes"/>
    <s v="No"/>
    <s v="Yes"/>
    <s v="No"/>
    <n v="238"/>
    <n v="1235"/>
    <n v="1822"/>
    <n v="7074"/>
    <n v="8207"/>
    <n v="18576"/>
    <n v="1.4232703532020747"/>
  </r>
  <r>
    <x v="31"/>
    <s v="9875 Franklin Rd, Brooklyn NY 11223"/>
    <x v="0"/>
    <x v="31"/>
    <s v="(931) 618-9558"/>
    <x v="2"/>
    <s v="Yes"/>
    <s v="Yes"/>
    <s v="Yes"/>
    <s v="No"/>
    <s v="No"/>
    <s v="Yes"/>
    <s v="No"/>
    <n v="1323"/>
    <n v="4963"/>
    <n v="6292"/>
    <n v="6728"/>
    <n v="8202"/>
    <n v="27508"/>
    <n v="0.57793816418173161"/>
  </r>
  <r>
    <x v="32"/>
    <s v="402 Bridgeton Lane, Bronx NY 10468"/>
    <x v="0"/>
    <x v="32"/>
    <s v="(617) 419-7996"/>
    <x v="0"/>
    <s v="Yes"/>
    <s v="Yes"/>
    <s v="No"/>
    <s v="Yes"/>
    <s v="No"/>
    <s v="Yes"/>
    <s v="No"/>
    <n v="73"/>
    <n v="3485"/>
    <n v="4592"/>
    <n v="5143"/>
    <n v="8100"/>
    <n v="21393"/>
    <n v="2.2455667067018901"/>
  </r>
  <r>
    <x v="33"/>
    <s v="174 Del Monte St, Brooklyn NY 11224"/>
    <x v="0"/>
    <x v="33"/>
    <s v="(980) 437-1451"/>
    <x v="2"/>
    <s v="Yes"/>
    <s v="Yes"/>
    <s v="Yes"/>
    <s v="No"/>
    <s v="No"/>
    <s v="No"/>
    <s v="No"/>
    <n v="1014"/>
    <n v="2254"/>
    <n v="4534"/>
    <n v="6796"/>
    <n v="7730"/>
    <n v="22328"/>
    <n v="0.66163405613342663"/>
  </r>
  <r>
    <x v="34"/>
    <s v="805 South Pilgrim Court, Brooklyn NY 11225"/>
    <x v="0"/>
    <x v="34"/>
    <s v="(964) 214-3742"/>
    <x v="0"/>
    <s v="Yes"/>
    <s v="Yes"/>
    <s v="No"/>
    <s v="No"/>
    <s v="No"/>
    <s v="No"/>
    <s v="No"/>
    <n v="3916"/>
    <n v="4218"/>
    <n v="5072"/>
    <n v="5201"/>
    <n v="7588"/>
    <n v="25995"/>
    <n v="0.17983468576187267"/>
  </r>
  <r>
    <x v="35"/>
    <s v="596 Coffee St, Bronx NY 10472"/>
    <x v="0"/>
    <x v="35"/>
    <s v="(242) 869-1226"/>
    <x v="1"/>
    <s v="Yes"/>
    <s v="Yes"/>
    <s v="Yes"/>
    <s v="Yes"/>
    <s v="Yes"/>
    <s v="Yes"/>
    <s v="Yes"/>
    <n v="376"/>
    <n v="889"/>
    <n v="4373"/>
    <n v="6803"/>
    <n v="7578"/>
    <n v="20019"/>
    <n v="1.1188084145320056"/>
  </r>
  <r>
    <x v="36"/>
    <s v="3685 Morningview Lane, New York NY 10013"/>
    <x v="0"/>
    <x v="36"/>
    <s v="(711) 426-7350"/>
    <x v="3"/>
    <s v="Yes"/>
    <s v="Yes"/>
    <s v="Yes"/>
    <s v="No"/>
    <s v="Yes"/>
    <s v="Yes"/>
    <s v="Yes"/>
    <n v="2786"/>
    <n v="3804"/>
    <n v="4121"/>
    <n v="6210"/>
    <n v="6909"/>
    <n v="23830"/>
    <n v="0.25489826874508914"/>
  </r>
  <r>
    <x v="37"/>
    <s v="7223 Cedarwood Ave, Brooklyn NY 11221"/>
    <x v="0"/>
    <x v="37"/>
    <s v="(924) 516-6566"/>
    <x v="1"/>
    <s v="Yes"/>
    <s v="Yes"/>
    <s v="Yes"/>
    <s v="No"/>
    <s v="No"/>
    <s v="Yes"/>
    <s v="Yes"/>
    <n v="8873"/>
    <n v="8484"/>
    <n v="7883"/>
    <n v="7499"/>
    <n v="6592"/>
    <n v="39331"/>
    <n v="-7.1596691853915484E-2"/>
  </r>
  <r>
    <x v="38"/>
    <s v="9577 Nicolls Ave, Staten Island NY 10312"/>
    <x v="0"/>
    <x v="38"/>
    <s v="(650) 848-8284"/>
    <x v="2"/>
    <s v="Yes"/>
    <s v="Yes"/>
    <s v="Yes"/>
    <s v="No"/>
    <s v="No"/>
    <s v="No"/>
    <s v="No"/>
    <n v="1032"/>
    <n v="3919"/>
    <n v="4466"/>
    <n v="5568"/>
    <n v="6476"/>
    <n v="21461"/>
    <n v="0.58272982283102692"/>
  </r>
  <r>
    <x v="39"/>
    <s v="419 E. Henry Ave, New York NY 10031"/>
    <x v="0"/>
    <x v="39"/>
    <s v="(201) 363-0653"/>
    <x v="2"/>
    <s v="Yes"/>
    <s v="Yes"/>
    <s v="Yes"/>
    <s v="No"/>
    <s v="No"/>
    <s v="Yes"/>
    <s v="No"/>
    <n v="128"/>
    <n v="416"/>
    <n v="747"/>
    <n v="1028"/>
    <n v="6357"/>
    <n v="8676"/>
    <n v="1.6546701130112136"/>
  </r>
  <r>
    <x v="40"/>
    <s v="102 Coffee Court, Bronx NY 10461"/>
    <x v="0"/>
    <x v="40"/>
    <s v="(277) 456-4626"/>
    <x v="3"/>
    <s v="Yes"/>
    <s v="Yes"/>
    <s v="No"/>
    <s v="Yes"/>
    <s v="No"/>
    <s v="Yes"/>
    <s v="No"/>
    <n v="1530"/>
    <n v="1620"/>
    <n v="2027"/>
    <n v="4881"/>
    <n v="6002"/>
    <n v="16060"/>
    <n v="0.40734683274409145"/>
  </r>
  <r>
    <x v="41"/>
    <s v="2807 Geraldine Lane, New York NY 10004"/>
    <x v="0"/>
    <x v="41"/>
    <s v="(412) 570-0596"/>
    <x v="3"/>
    <s v="Yes"/>
    <s v="Yes"/>
    <s v="No"/>
    <s v="Yes"/>
    <s v="Yes"/>
    <s v="Yes"/>
    <s v="Yes"/>
    <n v="1421"/>
    <n v="1893"/>
    <n v="2722"/>
    <n v="4410"/>
    <n v="5873"/>
    <n v="16319"/>
    <n v="0.42582583880267388"/>
  </r>
  <r>
    <x v="42"/>
    <s v="7488 N. Marconi Ave, Brooklyn NY 11237"/>
    <x v="0"/>
    <x v="42"/>
    <s v="(313) 417-8968"/>
    <x v="3"/>
    <s v="Yes"/>
    <s v="No"/>
    <s v="No"/>
    <s v="No"/>
    <s v="No"/>
    <s v="No"/>
    <s v="No"/>
    <n v="1532"/>
    <n v="2678"/>
    <n v="4068"/>
    <n v="4278"/>
    <n v="5382"/>
    <n v="17938"/>
    <n v="0.3690560602470212"/>
  </r>
  <r>
    <x v="43"/>
    <s v="9760 Taylor Dr, Brooklyn NY 11211"/>
    <x v="0"/>
    <x v="43"/>
    <s v="(936) 816-9148"/>
    <x v="2"/>
    <s v="Yes"/>
    <s v="No"/>
    <s v="No"/>
    <s v="No"/>
    <s v="No"/>
    <s v="Yes"/>
    <s v="No"/>
    <n v="576"/>
    <n v="2628"/>
    <n v="3612"/>
    <n v="5066"/>
    <n v="5156"/>
    <n v="17038"/>
    <n v="0.72970725225475852"/>
  </r>
  <r>
    <x v="44"/>
    <s v="8680 Alderwood St, New York NY 10032"/>
    <x v="0"/>
    <x v="44"/>
    <s v="(293) 473-1512"/>
    <x v="2"/>
    <s v="Yes"/>
    <s v="Yes"/>
    <s v="No"/>
    <s v="No"/>
    <s v="No"/>
    <s v="Yes"/>
    <s v="No"/>
    <n v="9791"/>
    <n v="9610"/>
    <n v="7534"/>
    <n v="5080"/>
    <n v="4936"/>
    <n v="36951"/>
    <n v="-0.15736979056747447"/>
  </r>
  <r>
    <x v="45"/>
    <s v="5 Tallwood St, Brooklyn NY 11233"/>
    <x v="0"/>
    <x v="45"/>
    <s v="(886) 554-5339"/>
    <x v="0"/>
    <s v="Yes"/>
    <s v="Yes"/>
    <s v="No"/>
    <s v="No"/>
    <s v="No"/>
    <s v="No"/>
    <s v="No"/>
    <n v="2390"/>
    <n v="2415"/>
    <n v="3461"/>
    <n v="3850"/>
    <n v="4657"/>
    <n v="16773"/>
    <n v="0.18148193130433588"/>
  </r>
  <r>
    <x v="46"/>
    <s v="424 Hall Ave, New York NY 10128"/>
    <x v="0"/>
    <x v="46"/>
    <s v="(462) 693-6254"/>
    <x v="1"/>
    <s v="Yes"/>
    <s v="Yes"/>
    <s v="No"/>
    <s v="No"/>
    <s v="No"/>
    <s v="No"/>
    <s v="No"/>
    <n v="8891"/>
    <n v="5952"/>
    <n v="5914"/>
    <n v="5405"/>
    <n v="4031"/>
    <n v="30193"/>
    <n v="-0.17943016656995925"/>
  </r>
  <r>
    <x v="47"/>
    <s v="62 Lower River Road, Staten Island, NY 10306"/>
    <x v="0"/>
    <x v="47"/>
    <s v="(743) 960-6716"/>
    <x v="0"/>
    <s v="Yes"/>
    <s v="Yes"/>
    <s v="No"/>
    <s v="No"/>
    <s v="No"/>
    <s v="No"/>
    <s v="No"/>
    <n v="6309"/>
    <n v="6227"/>
    <n v="5123"/>
    <n v="4968"/>
    <n v="3857"/>
    <n v="26484"/>
    <n v="-0.11575568185753915"/>
  </r>
  <r>
    <x v="48"/>
    <s v="3 Warren Drive, New York NY 10040"/>
    <x v="0"/>
    <x v="48"/>
    <s v="(778) 387-0744"/>
    <x v="0"/>
    <s v="Yes"/>
    <s v="Yes"/>
    <s v="No"/>
    <s v="No"/>
    <s v="No"/>
    <s v="No"/>
    <s v="No"/>
    <n v="9773"/>
    <n v="9179"/>
    <n v="8390"/>
    <n v="8256"/>
    <n v="3815"/>
    <n v="39413"/>
    <n v="-0.20956409258224717"/>
  </r>
  <r>
    <x v="49"/>
    <s v="8083 8th St, Brooklyn NY 11209"/>
    <x v="0"/>
    <x v="49"/>
    <s v="(237) 890-0247"/>
    <x v="2"/>
    <s v="Yes"/>
    <s v="No"/>
    <s v="No"/>
    <s v="No"/>
    <s v="No"/>
    <s v="No"/>
    <s v="No"/>
    <n v="8034"/>
    <n v="6541"/>
    <n v="3311"/>
    <n v="3254"/>
    <n v="2687"/>
    <n v="23827"/>
    <n v="-0.23952671916055424"/>
  </r>
  <r>
    <x v="50"/>
    <s v="267 Third Road, New York NY 10034"/>
    <x v="0"/>
    <x v="50"/>
    <s v="(697) 543-0310"/>
    <x v="3"/>
    <s v="Yes"/>
    <s v="No"/>
    <s v="No"/>
    <s v="No"/>
    <s v="No"/>
    <s v="Yes"/>
    <s v="No"/>
    <n v="9766"/>
    <n v="8049"/>
    <n v="5556"/>
    <n v="5202"/>
    <n v="2373"/>
    <n v="30946"/>
    <n v="-0.29790601141591733"/>
  </r>
  <r>
    <x v="51"/>
    <s v="44 W. Pheasant Street, Brooklyn NY 11233"/>
    <x v="0"/>
    <x v="51"/>
    <s v="(459) 968-9453"/>
    <x v="3"/>
    <s v="Yes"/>
    <s v="No"/>
    <s v="No"/>
    <s v="No"/>
    <s v="No"/>
    <s v="No"/>
    <s v="No"/>
    <n v="7555"/>
    <n v="6551"/>
    <n v="5188"/>
    <n v="3436"/>
    <n v="2359"/>
    <n v="25089"/>
    <n v="-0.25247905109930902"/>
  </r>
  <r>
    <x v="52"/>
    <s v="601 Bank Ave, Brooklyn NY 11218"/>
    <x v="0"/>
    <x v="52"/>
    <s v="(261) 690-0303"/>
    <x v="2"/>
    <s v="Yes"/>
    <s v="No"/>
    <s v="No"/>
    <s v="No"/>
    <s v="No"/>
    <s v="Yes"/>
    <s v="No"/>
    <n v="8466"/>
    <n v="4079"/>
    <n v="2797"/>
    <n v="2245"/>
    <n v="1696"/>
    <n v="19283"/>
    <n v="-0.33098339677163802"/>
  </r>
  <r>
    <x v="53"/>
    <s v="9453 N. Wagon Lane, Brooklyn NY 11237"/>
    <x v="0"/>
    <x v="53"/>
    <s v="(454) 903-5770"/>
    <x v="1"/>
    <s v="Yes"/>
    <s v="No"/>
    <s v="No"/>
    <s v="No"/>
    <s v="No"/>
    <s v="Yes"/>
    <s v="Yes"/>
    <n v="7703"/>
    <n v="6957"/>
    <n v="3898"/>
    <n v="1857"/>
    <n v="1512"/>
    <n v="21927"/>
    <n v="-0.33438519484677687"/>
  </r>
  <r>
    <x v="54"/>
    <s v="12 Lees Creek St, Brooklyn NY 11211"/>
    <x v="0"/>
    <x v="54"/>
    <s v="(754) 696-3109"/>
    <x v="0"/>
    <s v="Yes"/>
    <s v="No"/>
    <s v="No"/>
    <s v="No"/>
    <s v="Yes"/>
    <s v="No"/>
    <s v="No"/>
    <n v="6156"/>
    <n v="6110"/>
    <n v="5791"/>
    <n v="1759"/>
    <n v="969"/>
    <n v="20785"/>
    <n v="-0.37012221518144006"/>
  </r>
  <r>
    <x v="55"/>
    <s v="92 Princess St, New York NY 10033"/>
    <x v="0"/>
    <x v="55"/>
    <s v="(485) 453-8693"/>
    <x v="1"/>
    <s v="Yes"/>
    <s v="No"/>
    <s v="No"/>
    <s v="No"/>
    <s v="No"/>
    <s v="Yes"/>
    <s v="Yes"/>
    <n v="7840"/>
    <n v="5804"/>
    <n v="4259"/>
    <n v="4243"/>
    <n v="907"/>
    <n v="23053"/>
    <n v="-0.41679289513417705"/>
  </r>
  <r>
    <x v="56"/>
    <s v="484 Thorne St, New York NY 10128"/>
    <x v="0"/>
    <x v="56"/>
    <s v="(938) 752-9381"/>
    <x v="0"/>
    <s v="Yes"/>
    <s v="No"/>
    <s v="No"/>
    <s v="No"/>
    <s v="Yes"/>
    <s v="No"/>
    <s v="No"/>
    <n v="8331"/>
    <n v="7667"/>
    <n v="5952"/>
    <n v="1998"/>
    <n v="375"/>
    <n v="24323"/>
    <n v="-0.53938981874158332"/>
  </r>
  <r>
    <x v="57"/>
    <s v="44 Madison Dr, New York NY 10032"/>
    <x v="0"/>
    <x v="57"/>
    <s v="(220) 929-0797"/>
    <x v="3"/>
    <s v="Yes"/>
    <s v="Yes"/>
    <s v="No"/>
    <s v="No"/>
    <s v="No"/>
    <s v="No"/>
    <s v="No"/>
    <n v="9058"/>
    <n v="4839"/>
    <n v="4776"/>
    <n v="4024"/>
    <n v="369"/>
    <n v="23066"/>
    <n v="-0.55073921414194782"/>
  </r>
  <r>
    <x v="58"/>
    <s v="48 Winchester Avenue, New York NY 10024"/>
    <x v="0"/>
    <x v="58"/>
    <s v="(678) 294-8103"/>
    <x v="3"/>
    <s v="Yes"/>
    <s v="No"/>
    <s v="No"/>
    <s v="No"/>
    <s v="No"/>
    <s v="Yes"/>
    <s v="No"/>
    <n v="9252"/>
    <n v="8499"/>
    <n v="991"/>
    <n v="448"/>
    <n v="211"/>
    <n v="19401"/>
    <n v="-0.61139202601329412"/>
  </r>
  <r>
    <x v="59"/>
    <s v="7184 Center Court, Brooklyn NY 11208"/>
    <x v="0"/>
    <x v="59"/>
    <s v="(685) 981-8556"/>
    <x v="2"/>
    <s v="Yes"/>
    <s v="No"/>
    <s v="No"/>
    <s v="No"/>
    <s v="No"/>
    <s v="Yes"/>
    <s v="No"/>
    <n v="8156"/>
    <n v="1245"/>
    <n v="791"/>
    <n v="338"/>
    <n v="44"/>
    <n v="10574"/>
    <n v="-0.72898466539472961"/>
  </r>
  <r>
    <x v="60"/>
    <m/>
    <x v="1"/>
    <x v="60"/>
    <m/>
    <x v="4"/>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89976"/>
  </r>
  <r>
    <x v="1"/>
    <n v="242995"/>
  </r>
  <r>
    <x v="2"/>
    <n v="288449"/>
  </r>
  <r>
    <x v="3"/>
    <n v="350234"/>
  </r>
  <r>
    <x v="4"/>
    <n v="4091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B1BB9-F791-43C4-A288-1C094662D31A}"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1:B127"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Total Sa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5CCDB1-EC91-4124-9DEB-AB5F675CF1C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4" firstHeaderRow="0" firstDataRow="1" firstDataCol="0"/>
  <pivotFields count="20">
    <pivotField dataField="1" showAll="0"/>
    <pivotField showAll="0"/>
    <pivotField showAll="0"/>
    <pivotField showAll="0"/>
    <pivotField showAll="0"/>
    <pivotField showAll="0">
      <items count="6">
        <item x="0"/>
        <item x="1"/>
        <item x="3"/>
        <item x="2"/>
        <item x="4"/>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s>
  <rowItems count="1">
    <i/>
  </rowItems>
  <colFields count="1">
    <field x="-2"/>
  </colFields>
  <colItems count="6">
    <i>
      <x/>
    </i>
    <i i="1">
      <x v="1"/>
    </i>
    <i i="2">
      <x v="2"/>
    </i>
    <i i="3">
      <x v="3"/>
    </i>
    <i i="4">
      <x v="4"/>
    </i>
    <i i="5">
      <x v="5"/>
    </i>
  </colItems>
  <dataFields count="6">
    <dataField name="Count of Account Name" fld="0" subtotal="count" baseField="0" baseItem="0"/>
    <dataField name="Sum of 2017" fld="13" baseField="0" baseItem="0"/>
    <dataField name="Sum of 2018" fld="14" baseField="0" baseItem="0"/>
    <dataField name="Sum of 2019" fld="15" baseField="0" baseItem="0"/>
    <dataField name="Sum of 2020" fld="16" baseField="0" baseItem="0"/>
    <dataField name="Sum of 2021"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91F2C4-A9F8-40AF-AA7A-9CCD98467474}"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59:B65" firstHeaderRow="1" firstDataRow="1" firstDataCol="1"/>
  <pivotFields count="20">
    <pivotField showAll="0"/>
    <pivotField showAll="0"/>
    <pivotField showAll="0"/>
    <pivotField showAll="0"/>
    <pivotField showAll="0"/>
    <pivotField axis="axisRow" showAll="0" countASubtotal="1">
      <items count="6">
        <item x="4"/>
        <item x="2"/>
        <item x="3"/>
        <item x="1"/>
        <item x="0"/>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5"/>
  </rowFields>
  <rowItems count="6">
    <i>
      <x/>
    </i>
    <i>
      <x v="1"/>
    </i>
    <i>
      <x v="2"/>
    </i>
    <i>
      <x v="3"/>
    </i>
    <i>
      <x v="4"/>
    </i>
    <i t="grand">
      <x/>
    </i>
  </rowItems>
  <colItems count="1">
    <i/>
  </colItems>
  <dataFields count="1">
    <dataField name="Sum of Total sales" fld="18" baseField="0" baseItem="0"/>
  </dataFields>
  <formats count="3">
    <format dxfId="480">
      <pivotArea outline="0" collapsedLevelsAreSubtotals="1" fieldPosition="0"/>
    </format>
    <format dxfId="479">
      <pivotArea outline="0" collapsedLevelsAreSubtotals="1" fieldPosition="0">
        <references count="1">
          <reference field="5" count="3" selected="0">
            <x v="2"/>
            <x v="3"/>
            <x v="4"/>
          </reference>
        </references>
      </pivotArea>
    </format>
    <format dxfId="478">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5982AC-A762-40D9-A458-22CAEA52DE38}" name="PivotTable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28:G34" firstHeaderRow="1" firstDataRow="2" firstDataCol="1"/>
  <pivotFields count="20">
    <pivotField showAll="0"/>
    <pivotField showAll="0"/>
    <pivotField showAll="0"/>
    <pivotField showAll="0"/>
    <pivotField showAll="0"/>
    <pivotField axis="axisCol" showAll="0" countASubtotal="1">
      <items count="6">
        <item x="4"/>
        <item x="2"/>
        <item x="3"/>
        <item x="1"/>
        <item x="0"/>
        <item t="countA"/>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s>
  <rowFields count="1">
    <field x="-2"/>
  </rowFields>
  <rowItems count="5">
    <i>
      <x/>
    </i>
    <i i="1">
      <x v="1"/>
    </i>
    <i i="2">
      <x v="2"/>
    </i>
    <i i="3">
      <x v="3"/>
    </i>
    <i i="4">
      <x v="4"/>
    </i>
  </rowItems>
  <colFields count="1">
    <field x="5"/>
  </colFields>
  <colItems count="6">
    <i>
      <x/>
    </i>
    <i>
      <x v="1"/>
    </i>
    <i>
      <x v="2"/>
    </i>
    <i>
      <x v="3"/>
    </i>
    <i>
      <x v="4"/>
    </i>
    <i t="grand">
      <x/>
    </i>
  </colItems>
  <dataFields count="5">
    <dataField name="-2017" fld="13" baseField="4" baseItem="1"/>
    <dataField name="-2018" fld="14" baseField="4" baseItem="1"/>
    <dataField name="-2019" fld="15" baseField="4" baseItem="1"/>
    <dataField name="-2020" fld="16" baseField="4" baseItem="1"/>
    <dataField name="-2021" fld="17" baseField="4" baseItem="1"/>
  </dataFields>
  <formats count="7">
    <format dxfId="487">
      <pivotArea outline="0" collapsedLevelsAreSubtotals="1" fieldPosition="0"/>
    </format>
    <format dxfId="486">
      <pivotArea outline="0" collapsedLevelsAreSubtotals="1" fieldPosition="0">
        <references count="1">
          <reference field="5" count="3" selected="0">
            <x v="2"/>
            <x v="3"/>
            <x v="4"/>
          </reference>
        </references>
      </pivotArea>
    </format>
    <format dxfId="485">
      <pivotArea grandCol="1" outline="0" collapsedLevelsAreSubtotals="1" fieldPosition="0"/>
    </format>
    <format dxfId="484">
      <pivotArea collapsedLevelsAreSubtotals="1" fieldPosition="0">
        <references count="2">
          <reference field="4294967294" count="1">
            <x v="0"/>
          </reference>
          <reference field="5" count="1" selected="0">
            <x v="1"/>
          </reference>
        </references>
      </pivotArea>
    </format>
    <format dxfId="483">
      <pivotArea collapsedLevelsAreSubtotals="1" fieldPosition="0">
        <references count="1">
          <reference field="4294967294" count="4">
            <x v="1"/>
            <x v="2"/>
            <x v="3"/>
            <x v="4"/>
          </reference>
        </references>
      </pivotArea>
    </format>
    <format dxfId="482">
      <pivotArea collapsedLevelsAreSubtotals="1" fieldPosition="0">
        <references count="2">
          <reference field="4294967294" count="1">
            <x v="0"/>
          </reference>
          <reference field="5" count="3" selected="0">
            <x v="2"/>
            <x v="3"/>
            <x v="4"/>
          </reference>
        </references>
      </pivotArea>
    </format>
    <format dxfId="481">
      <pivotArea field="5" grandCol="1" collapsedLevelsAreSubtotals="1" axis="axisCol" fieldPosition="0">
        <references count="1">
          <reference field="4294967294" count="1">
            <x v="0"/>
          </reference>
        </references>
      </pivotArea>
    </format>
  </formats>
  <chartFormats count="18">
    <chartFormat chart="0" format="85" series="1">
      <pivotArea type="data" outline="0" fieldPosition="0">
        <references count="2">
          <reference field="4294967294" count="1" selected="0">
            <x v="0"/>
          </reference>
          <reference field="5" count="1" selected="0">
            <x v="1"/>
          </reference>
        </references>
      </pivotArea>
    </chartFormat>
    <chartFormat chart="0" format="86" series="1">
      <pivotArea type="data" outline="0" fieldPosition="0">
        <references count="2">
          <reference field="4294967294" count="1" selected="0">
            <x v="0"/>
          </reference>
          <reference field="5" count="1" selected="0">
            <x v="2"/>
          </reference>
        </references>
      </pivotArea>
    </chartFormat>
    <chartFormat chart="0" format="87" series="1">
      <pivotArea type="data" outline="0" fieldPosition="0">
        <references count="2">
          <reference field="4294967294" count="1" selected="0">
            <x v="0"/>
          </reference>
          <reference field="5" count="1" selected="0">
            <x v="3"/>
          </reference>
        </references>
      </pivotArea>
    </chartFormat>
    <chartFormat chart="0" format="88" series="1">
      <pivotArea type="data" outline="0" fieldPosition="0">
        <references count="2">
          <reference field="4294967294" count="1" selected="0">
            <x v="0"/>
          </reference>
          <reference field="5" count="1" selected="0">
            <x v="4"/>
          </reference>
        </references>
      </pivotArea>
    </chartFormat>
    <chartFormat chart="15" format="0" series="1">
      <pivotArea type="data" outline="0" fieldPosition="0">
        <references count="2">
          <reference field="4294967294" count="1" selected="0">
            <x v="0"/>
          </reference>
          <reference field="5" count="1" selected="0">
            <x v="1"/>
          </reference>
        </references>
      </pivotArea>
    </chartFormat>
    <chartFormat chart="15" format="1" series="1">
      <pivotArea type="data" outline="0" fieldPosition="0">
        <references count="2">
          <reference field="4294967294" count="1" selected="0">
            <x v="0"/>
          </reference>
          <reference field="5" count="1" selected="0">
            <x v="2"/>
          </reference>
        </references>
      </pivotArea>
    </chartFormat>
    <chartFormat chart="15" format="2" series="1">
      <pivotArea type="data" outline="0" fieldPosition="0">
        <references count="2">
          <reference field="4294967294" count="1" selected="0">
            <x v="0"/>
          </reference>
          <reference field="5" count="1" selected="0">
            <x v="3"/>
          </reference>
        </references>
      </pivotArea>
    </chartFormat>
    <chartFormat chart="15" format="3" series="1">
      <pivotArea type="data" outline="0" fieldPosition="0">
        <references count="2">
          <reference field="4294967294" count="1" selected="0">
            <x v="0"/>
          </reference>
          <reference field="5" count="1" selected="0">
            <x v="4"/>
          </reference>
        </references>
      </pivotArea>
    </chartFormat>
    <chartFormat chart="16" format="4" series="1">
      <pivotArea type="data" outline="0" fieldPosition="0">
        <references count="2">
          <reference field="4294967294" count="1" selected="0">
            <x v="0"/>
          </reference>
          <reference field="5" count="1" selected="0">
            <x v="1"/>
          </reference>
        </references>
      </pivotArea>
    </chartFormat>
    <chartFormat chart="16" format="5" series="1">
      <pivotArea type="data" outline="0" fieldPosition="0">
        <references count="2">
          <reference field="4294967294" count="1" selected="0">
            <x v="0"/>
          </reference>
          <reference field="5" count="1" selected="0">
            <x v="2"/>
          </reference>
        </references>
      </pivotArea>
    </chartFormat>
    <chartFormat chart="16" format="6" series="1">
      <pivotArea type="data" outline="0" fieldPosition="0">
        <references count="2">
          <reference field="4294967294" count="1" selected="0">
            <x v="0"/>
          </reference>
          <reference field="5" count="1" selected="0">
            <x v="3"/>
          </reference>
        </references>
      </pivotArea>
    </chartFormat>
    <chartFormat chart="16" format="7" series="1">
      <pivotArea type="data" outline="0" fieldPosition="0">
        <references count="2">
          <reference field="4294967294" count="1" selected="0">
            <x v="0"/>
          </reference>
          <reference field="5" count="1" selected="0">
            <x v="4"/>
          </reference>
        </references>
      </pivotArea>
    </chartFormat>
    <chartFormat chart="17" format="8" series="1">
      <pivotArea type="data" outline="0" fieldPosition="0">
        <references count="2">
          <reference field="4294967294" count="1" selected="0">
            <x v="0"/>
          </reference>
          <reference field="5" count="1" selected="0">
            <x v="1"/>
          </reference>
        </references>
      </pivotArea>
    </chartFormat>
    <chartFormat chart="17" format="9" series="1">
      <pivotArea type="data" outline="0" fieldPosition="0">
        <references count="2">
          <reference field="4294967294" count="1" selected="0">
            <x v="0"/>
          </reference>
          <reference field="5" count="1" selected="0">
            <x v="2"/>
          </reference>
        </references>
      </pivotArea>
    </chartFormat>
    <chartFormat chart="17" format="10" series="1">
      <pivotArea type="data" outline="0" fieldPosition="0">
        <references count="2">
          <reference field="4294967294" count="1" selected="0">
            <x v="0"/>
          </reference>
          <reference field="5" count="1" selected="0">
            <x v="3"/>
          </reference>
        </references>
      </pivotArea>
    </chartFormat>
    <chartFormat chart="17" format="11" series="1">
      <pivotArea type="data" outline="0" fieldPosition="0">
        <references count="2">
          <reference field="4294967294" count="1" selected="0">
            <x v="0"/>
          </reference>
          <reference field="5" count="1" selected="0">
            <x v="4"/>
          </reference>
        </references>
      </pivotArea>
    </chartFormat>
    <chartFormat chart="15" format="4" series="1">
      <pivotArea type="data" outline="0" fieldPosition="0">
        <references count="2">
          <reference field="4294967294" count="1" selected="0">
            <x v="0"/>
          </reference>
          <reference field="5" count="1" selected="0">
            <x v="0"/>
          </reference>
        </references>
      </pivotArea>
    </chartFormat>
    <chartFormat chart="17" format="12"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0E21C7-4159-413A-B574-B39A23359A2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A10" firstHeaderRow="1" firstDataRow="1" firstDataCol="0"/>
  <pivotFields count="20">
    <pivotField showAll="0"/>
    <pivotField showAll="0"/>
    <pivotField showAll="0">
      <items count="3">
        <item x="0"/>
        <item x="1"/>
        <item t="default"/>
      </items>
    </pivotField>
    <pivotField showAll="0"/>
    <pivotField showAll="0"/>
    <pivotField showAll="0">
      <items count="6">
        <item x="0"/>
        <item x="1"/>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Average of 5 YR CAGR" fld="19" subtotal="average" baseField="0" baseItem="1832769" numFmtId="10"/>
  </dataFields>
  <formats count="1">
    <format dxfId="4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BBC864-A852-4BAD-BC90-81F7B60F6C22}" name="PivotTable4"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7:G23" firstHeaderRow="1" firstDataRow="2" firstDataCol="1"/>
  <pivotFields count="20">
    <pivotField showAll="0"/>
    <pivotField showAll="0"/>
    <pivotField showAll="0"/>
    <pivotField showAll="0"/>
    <pivotField showAll="0"/>
    <pivotField axis="axisCol" showAll="0" countASubtotal="1">
      <items count="6">
        <item x="4"/>
        <item x="2"/>
        <item x="3"/>
        <item x="1"/>
        <item x="0"/>
        <item t="countA"/>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s>
  <rowFields count="1">
    <field x="-2"/>
  </rowFields>
  <rowItems count="5">
    <i>
      <x/>
    </i>
    <i i="1">
      <x v="1"/>
    </i>
    <i i="2">
      <x v="2"/>
    </i>
    <i i="3">
      <x v="3"/>
    </i>
    <i i="4">
      <x v="4"/>
    </i>
  </rowItems>
  <colFields count="1">
    <field x="5"/>
  </colFields>
  <colItems count="6">
    <i>
      <x/>
    </i>
    <i>
      <x v="1"/>
    </i>
    <i>
      <x v="2"/>
    </i>
    <i>
      <x v="3"/>
    </i>
    <i>
      <x v="4"/>
    </i>
    <i t="grand">
      <x/>
    </i>
  </colItems>
  <dataFields count="5">
    <dataField name="2017." fld="13" baseField="4" baseItem="1"/>
    <dataField name="Sum of 2018" fld="14" baseField="0" baseItem="0"/>
    <dataField name="Sum of 2019" fld="15" baseField="0" baseItem="0"/>
    <dataField name="Sum of 2020" fld="16" baseField="0" baseItem="0"/>
    <dataField name="Sum of 2021" fld="17" baseField="0" baseItem="0"/>
  </dataFields>
  <formats count="8">
    <format dxfId="496">
      <pivotArea outline="0" collapsedLevelsAreSubtotals="1" fieldPosition="0"/>
    </format>
    <format dxfId="495">
      <pivotArea outline="0" collapsedLevelsAreSubtotals="1" fieldPosition="0">
        <references count="1">
          <reference field="5" count="3" selected="0">
            <x v="2"/>
            <x v="3"/>
            <x v="4"/>
          </reference>
        </references>
      </pivotArea>
    </format>
    <format dxfId="494">
      <pivotArea grandCol="1" outline="0" collapsedLevelsAreSubtotals="1" fieldPosition="0"/>
    </format>
    <format dxfId="493">
      <pivotArea collapsedLevelsAreSubtotals="1" fieldPosition="0">
        <references count="2">
          <reference field="4294967294" count="1">
            <x v="0"/>
          </reference>
          <reference field="5" count="1" selected="0">
            <x v="1"/>
          </reference>
        </references>
      </pivotArea>
    </format>
    <format dxfId="492">
      <pivotArea collapsedLevelsAreSubtotals="1" fieldPosition="0">
        <references count="1">
          <reference field="4294967294" count="4">
            <x v="1"/>
            <x v="2"/>
            <x v="3"/>
            <x v="4"/>
          </reference>
        </references>
      </pivotArea>
    </format>
    <format dxfId="491">
      <pivotArea collapsedLevelsAreSubtotals="1" fieldPosition="0">
        <references count="2">
          <reference field="4294967294" count="1">
            <x v="0"/>
          </reference>
          <reference field="5" count="3" selected="0">
            <x v="2"/>
            <x v="3"/>
            <x v="4"/>
          </reference>
        </references>
      </pivotArea>
    </format>
    <format dxfId="490">
      <pivotArea field="5" grandCol="1" collapsedLevelsAreSubtotals="1" axis="axisCol" fieldPosition="0">
        <references count="1">
          <reference field="4294967294" count="1">
            <x v="0"/>
          </reference>
        </references>
      </pivotArea>
    </format>
    <format dxfId="48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282B7C-8459-4686-A579-FBB313B68192}"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95:B106" firstHeaderRow="1" firstDataRow="1" firstDataCol="1"/>
  <pivotFields count="20">
    <pivotField axis="axisRow" showAll="0" measureFilter="1">
      <items count="62">
        <item x="18"/>
        <item x="10"/>
        <item x="54"/>
        <item x="28"/>
        <item x="47"/>
        <item x="26"/>
        <item x="45"/>
        <item x="34"/>
        <item x="17"/>
        <item x="48"/>
        <item x="32"/>
        <item x="30"/>
        <item x="0"/>
        <item x="56"/>
        <item x="11"/>
        <item x="23"/>
        <item x="35"/>
        <item x="55"/>
        <item x="8"/>
        <item x="46"/>
        <item x="22"/>
        <item x="29"/>
        <item x="25"/>
        <item x="37"/>
        <item x="9"/>
        <item x="12"/>
        <item x="14"/>
        <item x="1"/>
        <item x="53"/>
        <item x="19"/>
        <item x="20"/>
        <item x="40"/>
        <item x="51"/>
        <item x="42"/>
        <item x="27"/>
        <item x="16"/>
        <item x="57"/>
        <item x="36"/>
        <item x="3"/>
        <item x="13"/>
        <item x="41"/>
        <item x="24"/>
        <item x="58"/>
        <item x="5"/>
        <item x="50"/>
        <item x="59"/>
        <item x="43"/>
        <item x="39"/>
        <item x="49"/>
        <item x="6"/>
        <item x="38"/>
        <item x="33"/>
        <item x="21"/>
        <item x="31"/>
        <item x="52"/>
        <item x="4"/>
        <item x="2"/>
        <item x="15"/>
        <item x="44"/>
        <item x="7"/>
        <item x="60"/>
        <item t="default"/>
      </items>
    </pivotField>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countASubtotal="1">
      <items count="6">
        <item x="0"/>
        <item x="1"/>
        <item x="3"/>
        <item x="2"/>
        <item x="4"/>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i>
    <i>
      <x v="9"/>
    </i>
    <i>
      <x v="21"/>
    </i>
    <i>
      <x v="23"/>
    </i>
    <i>
      <x v="24"/>
    </i>
    <i>
      <x v="30"/>
    </i>
    <i>
      <x v="41"/>
    </i>
    <i>
      <x v="43"/>
    </i>
    <i>
      <x v="44"/>
    </i>
    <i>
      <x v="58"/>
    </i>
    <i t="grand">
      <x/>
    </i>
  </rowItems>
  <colItems count="1">
    <i/>
  </colItems>
  <dataFields count="1">
    <dataField name="Sum of Total sales" fld="18" baseField="0" baseItem="0"/>
  </dataFields>
  <formats count="2">
    <format dxfId="498">
      <pivotArea outline="0" collapsedLevelsAreSubtotals="1" fieldPosition="0"/>
    </format>
    <format dxfId="497">
      <pivotArea grandCol="1" outline="0" collapsedLevelsAreSubtotals="1" fieldPosition="0"/>
    </format>
  </format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3" iMeasureFld="0">
      <autoFilter ref="A1">
        <filterColumn colId="0">
          <top10 val="10" filterVal="10"/>
        </filterColumn>
      </autoFilter>
    </filter>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4F44F6-74AE-460E-BC82-7232F548844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E14" firstHeaderRow="0" firstDataRow="1" firstDataCol="0"/>
  <pivotFields count="20">
    <pivotField showAll="0">
      <items count="62">
        <item x="18"/>
        <item x="10"/>
        <item x="54"/>
        <item x="28"/>
        <item x="47"/>
        <item x="26"/>
        <item x="45"/>
        <item x="34"/>
        <item x="17"/>
        <item x="48"/>
        <item x="32"/>
        <item x="30"/>
        <item x="0"/>
        <item x="56"/>
        <item x="11"/>
        <item x="23"/>
        <item x="35"/>
        <item x="55"/>
        <item x="8"/>
        <item x="46"/>
        <item x="22"/>
        <item x="29"/>
        <item x="25"/>
        <item x="37"/>
        <item x="9"/>
        <item x="12"/>
        <item x="14"/>
        <item x="1"/>
        <item x="53"/>
        <item x="19"/>
        <item x="20"/>
        <item x="40"/>
        <item x="51"/>
        <item x="42"/>
        <item x="27"/>
        <item x="16"/>
        <item x="57"/>
        <item x="36"/>
        <item x="3"/>
        <item x="13"/>
        <item x="41"/>
        <item x="24"/>
        <item x="58"/>
        <item x="5"/>
        <item x="50"/>
        <item x="59"/>
        <item x="43"/>
        <item x="39"/>
        <item x="49"/>
        <item x="6"/>
        <item x="38"/>
        <item x="33"/>
        <item x="21"/>
        <item x="31"/>
        <item x="52"/>
        <item x="4"/>
        <item x="2"/>
        <item x="15"/>
        <item x="44"/>
        <item x="7"/>
        <item x="6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s>
  <rowItems count="1">
    <i/>
  </rowItems>
  <colFields count="1">
    <field x="-2"/>
  </colFields>
  <colItems count="5">
    <i>
      <x/>
    </i>
    <i i="1">
      <x v="1"/>
    </i>
    <i i="2">
      <x v="2"/>
    </i>
    <i i="3">
      <x v="3"/>
    </i>
    <i i="4">
      <x v="4"/>
    </i>
  </colItems>
  <dataFields count="5">
    <dataField name="Max of 2021" fld="17" subtotal="max" baseField="0" baseItem="1"/>
    <dataField name="Max of 2020" fld="16" subtotal="max" baseField="0" baseItem="1"/>
    <dataField name="Max of 2019" fld="15" subtotal="max" baseField="0" baseItem="2"/>
    <dataField name="Max of 2018" fld="14" subtotal="max" baseField="0" baseItem="2"/>
    <dataField name="Max of 2017" fld="13" subtotal="max" baseField="0" baseItem="2"/>
  </dataFields>
  <formats count="4">
    <format dxfId="502">
      <pivotArea type="all" dataOnly="0" outline="0" fieldPosition="0"/>
    </format>
    <format dxfId="501">
      <pivotArea outline="0" collapsedLevelsAreSubtotals="1" fieldPosition="0"/>
    </format>
    <format dxfId="500">
      <pivotArea field="0" type="button" dataOnly="0" labelOnly="1" outline="0"/>
    </format>
    <format dxfId="49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0D8016-050B-4AE5-91E3-7EC721EFBD25}" name="PivotTable8"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44:B50" firstHeaderRow="1" firstDataRow="1" firstDataCol="1"/>
  <pivotFields count="20">
    <pivotField showAll="0"/>
    <pivotField showAll="0"/>
    <pivotField showAll="0"/>
    <pivotField showAll="0"/>
    <pivotField showAll="0"/>
    <pivotField axis="axisRow" showAll="0" countASubtotal="1">
      <items count="6">
        <item x="4"/>
        <item x="2"/>
        <item x="3"/>
        <item x="1"/>
        <item x="0"/>
        <item t="countA"/>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Social Media" fld="9" subtotal="count" baseField="0" baseItem="0"/>
  </dataFields>
  <formats count="2">
    <format dxfId="504">
      <pivotArea outline="0" collapsedLevelsAreSubtotals="1" fieldPosition="0"/>
    </format>
    <format dxfId="503">
      <pivotArea grandCol="1" outline="0" collapsedLevelsAreSubtotals="1" fieldPosition="0"/>
    </format>
  </formats>
  <chartFormats count="17">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1"/>
          </reference>
        </references>
      </pivotArea>
    </chartFormat>
    <chartFormat chart="17" format="3">
      <pivotArea type="data" outline="0" fieldPosition="0">
        <references count="2">
          <reference field="4294967294" count="1" selected="0">
            <x v="0"/>
          </reference>
          <reference field="5" count="1" selected="0">
            <x v="2"/>
          </reference>
        </references>
      </pivotArea>
    </chartFormat>
    <chartFormat chart="17" format="4">
      <pivotArea type="data" outline="0" fieldPosition="0">
        <references count="2">
          <reference field="4294967294" count="1" selected="0">
            <x v="0"/>
          </reference>
          <reference field="5" count="1" selected="0">
            <x v="3"/>
          </reference>
        </references>
      </pivotArea>
    </chartFormat>
    <chartFormat chart="17" format="5">
      <pivotArea type="data" outline="0" fieldPosition="0">
        <references count="2">
          <reference field="4294967294" count="1" selected="0">
            <x v="0"/>
          </reference>
          <reference field="5" count="1" selected="0">
            <x v="4"/>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5" count="1" selected="0">
            <x v="1"/>
          </reference>
        </references>
      </pivotArea>
    </chartFormat>
    <chartFormat chart="18" format="8">
      <pivotArea type="data" outline="0" fieldPosition="0">
        <references count="2">
          <reference field="4294967294" count="1" selected="0">
            <x v="0"/>
          </reference>
          <reference field="5" count="1" selected="0">
            <x v="2"/>
          </reference>
        </references>
      </pivotArea>
    </chartFormat>
    <chartFormat chart="18" format="9">
      <pivotArea type="data" outline="0" fieldPosition="0">
        <references count="2">
          <reference field="4294967294" count="1" selected="0">
            <x v="0"/>
          </reference>
          <reference field="5" count="1" selected="0">
            <x v="3"/>
          </reference>
        </references>
      </pivotArea>
    </chartFormat>
    <chartFormat chart="18" format="10">
      <pivotArea type="data" outline="0" fieldPosition="0">
        <references count="2">
          <reference field="4294967294" count="1" selected="0">
            <x v="0"/>
          </reference>
          <reference field="5" count="1" selected="0">
            <x v="4"/>
          </reference>
        </references>
      </pivotArea>
    </chartFormat>
    <chartFormat chart="16" format="1">
      <pivotArea type="data" outline="0" fieldPosition="0">
        <references count="2">
          <reference field="4294967294" count="1" selected="0">
            <x v="0"/>
          </reference>
          <reference field="5" count="1" selected="0">
            <x v="1"/>
          </reference>
        </references>
      </pivotArea>
    </chartFormat>
    <chartFormat chart="16" format="2">
      <pivotArea type="data" outline="0" fieldPosition="0">
        <references count="2">
          <reference field="4294967294" count="1" selected="0">
            <x v="0"/>
          </reference>
          <reference field="5" count="1" selected="0">
            <x v="2"/>
          </reference>
        </references>
      </pivotArea>
    </chartFormat>
    <chartFormat chart="16" format="3">
      <pivotArea type="data" outline="0" fieldPosition="0">
        <references count="2">
          <reference field="4294967294" count="1" selected="0">
            <x v="0"/>
          </reference>
          <reference field="5" count="1" selected="0">
            <x v="3"/>
          </reference>
        </references>
      </pivotArea>
    </chartFormat>
    <chartFormat chart="16" format="4">
      <pivotArea type="data" outline="0" fieldPosition="0">
        <references count="2">
          <reference field="4294967294" count="1" selected="0">
            <x v="0"/>
          </reference>
          <reference field="5" count="1" selected="0">
            <x v="4"/>
          </reference>
        </references>
      </pivotArea>
    </chartFormat>
    <chartFormat chart="18" format="11">
      <pivotArea type="data" outline="0" fieldPosition="0">
        <references count="2">
          <reference field="4294967294" count="1" selected="0">
            <x v="0"/>
          </reference>
          <reference field="5" count="1" selected="0">
            <x v="0"/>
          </reference>
        </references>
      </pivotArea>
    </chartFormat>
    <chartFormat chart="16"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AE0234-4AFD-4143-BB79-2556A55D5004}"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82:B88" firstHeaderRow="1" firstDataRow="1" firstDataCol="1"/>
  <pivotFields count="20">
    <pivotField showAll="0"/>
    <pivotField showAll="0"/>
    <pivotField showAll="0"/>
    <pivotField axis="axisRow" showAll="0" measureFilter="1" sortType="ascending">
      <items count="62">
        <item x="4"/>
        <item x="33"/>
        <item x="46"/>
        <item x="30"/>
        <item x="32"/>
        <item x="9"/>
        <item x="39"/>
        <item x="55"/>
        <item x="0"/>
        <item x="17"/>
        <item x="21"/>
        <item x="18"/>
        <item x="7"/>
        <item x="29"/>
        <item x="16"/>
        <item x="47"/>
        <item x="26"/>
        <item x="19"/>
        <item x="31"/>
        <item x="20"/>
        <item x="51"/>
        <item x="44"/>
        <item x="40"/>
        <item x="37"/>
        <item x="34"/>
        <item x="42"/>
        <item x="43"/>
        <item x="23"/>
        <item x="1"/>
        <item x="5"/>
        <item x="48"/>
        <item x="45"/>
        <item x="10"/>
        <item x="57"/>
        <item x="38"/>
        <item x="53"/>
        <item x="35"/>
        <item x="36"/>
        <item x="12"/>
        <item x="58"/>
        <item x="22"/>
        <item x="28"/>
        <item x="11"/>
        <item x="56"/>
        <item x="2"/>
        <item x="25"/>
        <item x="59"/>
        <item x="54"/>
        <item x="24"/>
        <item x="49"/>
        <item x="6"/>
        <item x="41"/>
        <item x="8"/>
        <item x="14"/>
        <item x="13"/>
        <item x="52"/>
        <item x="15"/>
        <item x="27"/>
        <item x="50"/>
        <item x="3"/>
        <item x="60"/>
        <item t="default"/>
      </items>
      <autoSortScope>
        <pivotArea dataOnly="0" outline="0" fieldPosition="0">
          <references count="1">
            <reference field="4294967294" count="1" selected="0">
              <x v="0"/>
            </reference>
          </references>
        </pivotArea>
      </autoSortScope>
    </pivotField>
    <pivotField showAll="0"/>
    <pivotField showAll="0" countASubtotal="1">
      <items count="6">
        <item x="0"/>
        <item x="1"/>
        <item x="3"/>
        <item x="2"/>
        <item x="4"/>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6">
    <i>
      <x v="48"/>
    </i>
    <i>
      <x v="11"/>
    </i>
    <i>
      <x v="21"/>
    </i>
    <i>
      <x v="23"/>
    </i>
    <i>
      <x v="30"/>
    </i>
    <i t="grand">
      <x/>
    </i>
  </rowItems>
  <colItems count="1">
    <i/>
  </colItems>
  <dataFields count="1">
    <dataField name="Sum of Total sales" fld="18" baseField="0" baseItem="0"/>
  </dataFields>
  <formats count="2">
    <format dxfId="506">
      <pivotArea outline="0" collapsedLevelsAreSubtotals="1" fieldPosition="0"/>
    </format>
    <format dxfId="505">
      <pivotArea grandCol="1" outline="0" collapsedLevelsAreSubtotals="1" fieldPosition="0"/>
    </format>
  </formats>
  <chartFormats count="8">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3" count="1" selected="0">
            <x v="48"/>
          </reference>
        </references>
      </pivotArea>
    </chartFormat>
    <chartFormat chart="19" format="4">
      <pivotArea type="data" outline="0" fieldPosition="0">
        <references count="2">
          <reference field="4294967294" count="1" selected="0">
            <x v="0"/>
          </reference>
          <reference field="3" count="1" selected="0">
            <x v="11"/>
          </reference>
        </references>
      </pivotArea>
    </chartFormat>
    <chartFormat chart="19" format="5">
      <pivotArea type="data" outline="0" fieldPosition="0">
        <references count="2">
          <reference field="4294967294" count="1" selected="0">
            <x v="0"/>
          </reference>
          <reference field="3" count="1" selected="0">
            <x v="21"/>
          </reference>
        </references>
      </pivotArea>
    </chartFormat>
    <chartFormat chart="19" format="6">
      <pivotArea type="data" outline="0" fieldPosition="0">
        <references count="2">
          <reference field="4294967294" count="1" selected="0">
            <x v="0"/>
          </reference>
          <reference field="3" count="1" selected="0">
            <x v="23"/>
          </reference>
        </references>
      </pivotArea>
    </chartFormat>
    <chartFormat chart="19" format="7">
      <pivotArea type="data" outline="0" fieldPosition="0">
        <references count="2">
          <reference field="4294967294" count="1" selected="0">
            <x v="0"/>
          </reference>
          <reference field="3" count="1" selected="0">
            <x v="3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C0FC0546-D186-40F1-AE49-07048929B4D8}" sourceName="Account Type">
  <pivotTables>
    <pivotTable tabId="2" name="PivotTable4"/>
    <pivotTable tabId="2" name="PivotTable1"/>
    <pivotTable tabId="2" name="PivotTable12"/>
    <pivotTable tabId="2" name="PivotTable13"/>
    <pivotTable tabId="2" name="PivotTable2"/>
    <pivotTable tabId="2" name="PivotTable5"/>
    <pivotTable tabId="2" name="PivotTable8"/>
    <pivotTable tabId="2" name="PivotTable9"/>
  </pivotTables>
  <data>
    <tabular pivotCacheId="1724779902">
      <items count="5">
        <i x="0" s="1"/>
        <i x="1" s="1"/>
        <i x="3"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31F675A-B80E-4822-B1ED-85125B317D47}" sourceName="Year ">
  <pivotTables>
    <pivotTable tabId="2" name="PivotTable6"/>
  </pivotTables>
  <data>
    <tabular pivotCacheId="2138561235">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4790210D-6845-4816-9D57-7AEE47787AE6}" cache="Slicer_Account_Type" caption="Account Type" rowHeight="241300"/>
  <slicer name="Year " xr10:uid="{DCD41A70-BC13-4677-8D94-C1929C541E39}" cache="Slicer_Year1" caption="Year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1" xr10:uid="{D091B8A9-DFBD-4060-97C9-7E141403F777}" cache="Slicer_Account_Type" caption="Account Type" style="Slicer Style 1" rowHeight="241300"/>
  <slicer name="Year  1" xr10:uid="{AABD4DDC-146E-4862-8A3E-BE6F1FAD96B5}" cache="Slicer_Year1" caption="Year "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32630C-2B3C-4C4E-9CCA-5D22D70B578B}" name="Table1" displayName="Table1" ref="A4:T64" totalsRowShown="0" headerRowDxfId="509">
  <autoFilter ref="A4:T64" xr:uid="{845C4147-0AB3-4FAF-BAE9-030BC8239BD9}"/>
  <sortState ref="A5:T64">
    <sortCondition descending="1" ref="R4:R64"/>
  </sortState>
  <tableColumns count="20">
    <tableColumn id="1" xr3:uid="{451A722B-C02B-4B62-8C9B-D7FF27B5EFBA}" name="Account Name"/>
    <tableColumn id="2" xr3:uid="{0E9F98E6-920F-4CA0-B8FB-241787A3934C}" name="Account Address"/>
    <tableColumn id="20" xr3:uid="{6514EA16-7A26-439B-9EB4-1DFC2FFB05A2}" name="Year"/>
    <tableColumn id="3" xr3:uid="{66488CBD-26EF-4400-A4A9-46C69184F98A}" name="Decision Maker"/>
    <tableColumn id="4" xr3:uid="{78DC1F61-927A-4633-B5DA-614B4D12955E}" name="Phone Number"/>
    <tableColumn id="5" xr3:uid="{E004DCCD-3F81-4AE8-80DE-B25FC283465E}" name="Account Type"/>
    <tableColumn id="6" xr3:uid="{E893819C-A6F1-403D-93DA-F0EDEE04B1AA}" name="Product 1"/>
    <tableColumn id="7" xr3:uid="{0745ABAC-BF51-4D39-8022-2A11389D6700}" name="Product 2"/>
    <tableColumn id="8" xr3:uid="{CBB8EFE1-C0FB-40E5-93A3-028D515D81CB}" name="Product 3"/>
    <tableColumn id="9" xr3:uid="{726D8A1F-368D-409E-85B4-8382C1C040E3}" name="Social Media"/>
    <tableColumn id="10" xr3:uid="{DE492FCC-B1A6-4276-A92A-423C5AA7A7C6}" name="Coupons"/>
    <tableColumn id="11" xr3:uid="{F4FB9A28-F13A-4BCF-8098-795678342B71}" name="Catalog Inclusion"/>
    <tableColumn id="12" xr3:uid="{3438CA3F-6E1B-4972-AA68-B3ECF4A45DB7}" name="Posters"/>
    <tableColumn id="13" xr3:uid="{61F5490A-EB31-4C5B-8B2B-FE19090E47C0}" name="2017"/>
    <tableColumn id="14" xr3:uid="{9E713EC8-6C28-446C-B450-202B3994D973}" name="2018"/>
    <tableColumn id="15" xr3:uid="{60AB12A0-0956-4D5F-93B0-74D57B2710F9}" name="2019"/>
    <tableColumn id="16" xr3:uid="{D774B700-DAAD-4711-A434-6C5E51CB59FA}" name="2020"/>
    <tableColumn id="17" xr3:uid="{0CA1DDBE-66CC-4FE1-B8A4-99A3E9B8E561}" name="2021"/>
    <tableColumn id="19" xr3:uid="{ECF9B81B-6361-479F-B55D-A45079452EE2}" name="Total sales" dataDxfId="508">
      <calculatedColumnFormula>SUM(Table1[[#This Row],[2017]:[2021]])</calculatedColumnFormula>
    </tableColumn>
    <tableColumn id="18" xr3:uid="{B9ED1DA0-812B-46FF-BE90-B722F93BDD81}" name="5 YR CAGR" dataDxfId="507">
      <calculatedColumnFormula>_xlfn.RRI($R$4-$N$4,N5,R5)</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T72"/>
  <sheetViews>
    <sheetView tabSelected="1" zoomScale="85" zoomScaleNormal="85" workbookViewId="0">
      <selection activeCell="A67" sqref="A67:B72"/>
    </sheetView>
  </sheetViews>
  <sheetFormatPr defaultRowHeight="15" x14ac:dyDescent="0.25"/>
  <cols>
    <col min="1" max="1" width="16" customWidth="1"/>
    <col min="2" max="2" width="23.5703125" customWidth="1"/>
    <col min="3" max="3" width="41.140625" customWidth="1"/>
    <col min="4" max="4" width="21.140625" customWidth="1"/>
    <col min="5" max="5" width="16.7109375" customWidth="1"/>
    <col min="6" max="6" width="21.140625" customWidth="1"/>
    <col min="7" max="9" width="11.42578125" customWidth="1"/>
    <col min="10" max="10" width="14.42578125" customWidth="1"/>
    <col min="11" max="11" width="10.85546875" customWidth="1"/>
    <col min="12" max="12" width="18.140625" customWidth="1"/>
    <col min="13" max="13" width="9.7109375" customWidth="1"/>
    <col min="19" max="19" width="12.140625" customWidth="1"/>
    <col min="20" max="20" width="12.28515625" customWidth="1"/>
  </cols>
  <sheetData>
    <row r="1" spans="1:20" ht="18.75" x14ac:dyDescent="0.3">
      <c r="A1" s="2" t="s">
        <v>0</v>
      </c>
    </row>
    <row r="3" spans="1:20" x14ac:dyDescent="0.25">
      <c r="A3" s="1"/>
      <c r="B3" s="1"/>
      <c r="C3" s="1"/>
      <c r="D3" s="1"/>
      <c r="E3" s="1"/>
      <c r="F3" s="1"/>
      <c r="G3" s="35" t="s">
        <v>1</v>
      </c>
      <c r="H3" s="36"/>
      <c r="I3" s="36"/>
      <c r="J3" s="31" t="s">
        <v>2</v>
      </c>
      <c r="K3" s="32"/>
      <c r="L3" s="32"/>
      <c r="M3" s="32"/>
      <c r="N3" s="33" t="s">
        <v>3</v>
      </c>
      <c r="O3" s="34"/>
      <c r="P3" s="34"/>
      <c r="Q3" s="34"/>
      <c r="R3" s="34"/>
      <c r="S3" s="6"/>
      <c r="T3" s="3"/>
    </row>
    <row r="4" spans="1:20" x14ac:dyDescent="0.25">
      <c r="A4" s="30" t="s">
        <v>4</v>
      </c>
      <c r="B4" s="30" t="s">
        <v>5</v>
      </c>
      <c r="C4" s="30" t="s">
        <v>304</v>
      </c>
      <c r="D4" s="30" t="s">
        <v>6</v>
      </c>
      <c r="E4" s="30" t="s">
        <v>7</v>
      </c>
      <c r="F4" s="30" t="s">
        <v>8</v>
      </c>
      <c r="G4" s="30" t="s">
        <v>9</v>
      </c>
      <c r="H4" s="30" t="s">
        <v>10</v>
      </c>
      <c r="I4" s="30" t="s">
        <v>11</v>
      </c>
      <c r="J4" s="30" t="s">
        <v>12</v>
      </c>
      <c r="K4" s="30" t="s">
        <v>13</v>
      </c>
      <c r="L4" s="30" t="s">
        <v>14</v>
      </c>
      <c r="M4" s="30" t="s">
        <v>15</v>
      </c>
      <c r="N4" s="30" t="s">
        <v>273</v>
      </c>
      <c r="O4" s="30" t="s">
        <v>274</v>
      </c>
      <c r="P4" s="30" t="s">
        <v>275</v>
      </c>
      <c r="Q4" s="30" t="s">
        <v>276</v>
      </c>
      <c r="R4" s="30" t="s">
        <v>277</v>
      </c>
      <c r="S4" s="30" t="s">
        <v>290</v>
      </c>
      <c r="T4" s="30" t="s">
        <v>16</v>
      </c>
    </row>
    <row r="5" spans="1:20" x14ac:dyDescent="0.25">
      <c r="A5" t="s">
        <v>105</v>
      </c>
      <c r="B5" t="s">
        <v>106</v>
      </c>
      <c r="C5" t="s">
        <v>305</v>
      </c>
      <c r="D5" t="s">
        <v>107</v>
      </c>
      <c r="E5" t="s">
        <v>108</v>
      </c>
      <c r="F5" t="s">
        <v>84</v>
      </c>
      <c r="G5" t="s">
        <v>22</v>
      </c>
      <c r="H5" t="s">
        <v>22</v>
      </c>
      <c r="I5" t="s">
        <v>27</v>
      </c>
      <c r="J5" t="s">
        <v>22</v>
      </c>
      <c r="K5" t="s">
        <v>27</v>
      </c>
      <c r="L5" t="s">
        <v>22</v>
      </c>
      <c r="M5" t="s">
        <v>27</v>
      </c>
      <c r="N5">
        <v>1368</v>
      </c>
      <c r="O5">
        <v>3447</v>
      </c>
      <c r="P5">
        <v>4535</v>
      </c>
      <c r="Q5">
        <v>5476</v>
      </c>
      <c r="R5">
        <v>9983</v>
      </c>
      <c r="S5">
        <f>SUM(Table1[[#This Row],[2017]:[2021]])</f>
        <v>24809</v>
      </c>
      <c r="T5" s="4">
        <f t="shared" ref="T5:T36" si="0">_xlfn.RRI($R$4-$N$4,N5,R5)</f>
        <v>0.64359095818904954</v>
      </c>
    </row>
    <row r="6" spans="1:20" x14ac:dyDescent="0.25">
      <c r="A6" t="s">
        <v>166</v>
      </c>
      <c r="B6" t="s">
        <v>167</v>
      </c>
      <c r="C6" t="s">
        <v>305</v>
      </c>
      <c r="D6" t="s">
        <v>168</v>
      </c>
      <c r="E6" t="s">
        <v>169</v>
      </c>
      <c r="F6" t="s">
        <v>145</v>
      </c>
      <c r="G6" t="s">
        <v>22</v>
      </c>
      <c r="H6" t="s">
        <v>22</v>
      </c>
      <c r="I6" t="s">
        <v>22</v>
      </c>
      <c r="J6" t="s">
        <v>22</v>
      </c>
      <c r="K6" t="s">
        <v>22</v>
      </c>
      <c r="L6" t="s">
        <v>22</v>
      </c>
      <c r="M6" t="s">
        <v>22</v>
      </c>
      <c r="N6">
        <v>742</v>
      </c>
      <c r="O6">
        <v>3751</v>
      </c>
      <c r="P6">
        <v>4423</v>
      </c>
      <c r="Q6">
        <v>8733</v>
      </c>
      <c r="R6">
        <v>9909</v>
      </c>
      <c r="S6">
        <f>SUM(Table1[[#This Row],[2017]:[2021]])</f>
        <v>27558</v>
      </c>
      <c r="T6" s="4">
        <f t="shared" si="0"/>
        <v>0.91164163510334228</v>
      </c>
    </row>
    <row r="7" spans="1:20" x14ac:dyDescent="0.25">
      <c r="A7" t="s">
        <v>223</v>
      </c>
      <c r="B7" t="s">
        <v>224</v>
      </c>
      <c r="C7" t="s">
        <v>305</v>
      </c>
      <c r="D7" t="s">
        <v>225</v>
      </c>
      <c r="E7" t="s">
        <v>226</v>
      </c>
      <c r="F7" t="s">
        <v>206</v>
      </c>
      <c r="G7" t="s">
        <v>22</v>
      </c>
      <c r="H7" t="s">
        <v>22</v>
      </c>
      <c r="I7" t="s">
        <v>22</v>
      </c>
      <c r="J7" t="s">
        <v>27</v>
      </c>
      <c r="K7" t="s">
        <v>27</v>
      </c>
      <c r="L7" t="s">
        <v>22</v>
      </c>
      <c r="M7" t="s">
        <v>27</v>
      </c>
      <c r="N7">
        <v>1497</v>
      </c>
      <c r="O7">
        <v>1768</v>
      </c>
      <c r="P7">
        <v>2804</v>
      </c>
      <c r="Q7">
        <v>5718</v>
      </c>
      <c r="R7">
        <v>9822</v>
      </c>
      <c r="S7">
        <f>SUM(Table1[[#This Row],[2017]:[2021]])</f>
        <v>21609</v>
      </c>
      <c r="T7" s="4">
        <f t="shared" si="0"/>
        <v>0.60045892388204325</v>
      </c>
    </row>
    <row r="8" spans="1:20" x14ac:dyDescent="0.25">
      <c r="A8" t="s">
        <v>28</v>
      </c>
      <c r="B8" t="s">
        <v>29</v>
      </c>
      <c r="C8" t="s">
        <v>305</v>
      </c>
      <c r="D8" t="s">
        <v>30</v>
      </c>
      <c r="E8" t="s">
        <v>31</v>
      </c>
      <c r="F8" t="s">
        <v>21</v>
      </c>
      <c r="G8" t="s">
        <v>22</v>
      </c>
      <c r="H8" t="s">
        <v>22</v>
      </c>
      <c r="I8" t="s">
        <v>22</v>
      </c>
      <c r="J8" t="s">
        <v>22</v>
      </c>
      <c r="K8" t="s">
        <v>22</v>
      </c>
      <c r="L8" t="s">
        <v>22</v>
      </c>
      <c r="M8" t="s">
        <v>22</v>
      </c>
      <c r="N8">
        <v>1209</v>
      </c>
      <c r="O8">
        <v>1534</v>
      </c>
      <c r="P8">
        <v>1634</v>
      </c>
      <c r="Q8">
        <v>4302</v>
      </c>
      <c r="R8">
        <v>9768</v>
      </c>
      <c r="S8">
        <f>SUM(Table1[[#This Row],[2017]:[2021]])</f>
        <v>18447</v>
      </c>
      <c r="T8" s="4">
        <f t="shared" si="0"/>
        <v>0.68595057009486848</v>
      </c>
    </row>
    <row r="9" spans="1:20" x14ac:dyDescent="0.25">
      <c r="A9" t="s">
        <v>219</v>
      </c>
      <c r="B9" t="s">
        <v>220</v>
      </c>
      <c r="C9" t="s">
        <v>305</v>
      </c>
      <c r="D9" t="s">
        <v>221</v>
      </c>
      <c r="E9" t="s">
        <v>222</v>
      </c>
      <c r="F9" t="s">
        <v>206</v>
      </c>
      <c r="G9" t="s">
        <v>22</v>
      </c>
      <c r="H9" t="s">
        <v>22</v>
      </c>
      <c r="I9" t="s">
        <v>22</v>
      </c>
      <c r="J9" t="s">
        <v>27</v>
      </c>
      <c r="K9" t="s">
        <v>27</v>
      </c>
      <c r="L9" t="s">
        <v>22</v>
      </c>
      <c r="M9" t="s">
        <v>27</v>
      </c>
      <c r="N9">
        <v>870</v>
      </c>
      <c r="O9">
        <v>2428</v>
      </c>
      <c r="P9">
        <v>7386</v>
      </c>
      <c r="Q9">
        <v>8835</v>
      </c>
      <c r="R9">
        <v>9766</v>
      </c>
      <c r="S9">
        <f>SUM(Table1[[#This Row],[2017]:[2021]])</f>
        <v>29285</v>
      </c>
      <c r="T9" s="4">
        <f t="shared" si="0"/>
        <v>0.83041416010220881</v>
      </c>
    </row>
    <row r="10" spans="1:20" x14ac:dyDescent="0.25">
      <c r="A10" t="s">
        <v>48</v>
      </c>
      <c r="B10" t="s">
        <v>49</v>
      </c>
      <c r="C10" t="s">
        <v>305</v>
      </c>
      <c r="D10" t="s">
        <v>50</v>
      </c>
      <c r="E10" t="s">
        <v>51</v>
      </c>
      <c r="F10" t="s">
        <v>21</v>
      </c>
      <c r="G10" t="s">
        <v>22</v>
      </c>
      <c r="H10" t="s">
        <v>27</v>
      </c>
      <c r="I10" t="s">
        <v>22</v>
      </c>
      <c r="J10" t="s">
        <v>22</v>
      </c>
      <c r="K10" t="s">
        <v>27</v>
      </c>
      <c r="L10" t="s">
        <v>22</v>
      </c>
      <c r="M10" t="s">
        <v>27</v>
      </c>
      <c r="N10">
        <v>1581</v>
      </c>
      <c r="O10">
        <v>4799</v>
      </c>
      <c r="P10">
        <v>6582</v>
      </c>
      <c r="Q10">
        <v>9024</v>
      </c>
      <c r="R10">
        <v>9759</v>
      </c>
      <c r="S10">
        <f>SUM(Table1[[#This Row],[2017]:[2021]])</f>
        <v>31745</v>
      </c>
      <c r="T10" s="4">
        <f t="shared" si="0"/>
        <v>0.57622554654037406</v>
      </c>
    </row>
    <row r="11" spans="1:20" x14ac:dyDescent="0.25">
      <c r="A11" t="s">
        <v>251</v>
      </c>
      <c r="B11" t="s">
        <v>252</v>
      </c>
      <c r="C11" t="s">
        <v>305</v>
      </c>
      <c r="D11" t="s">
        <v>253</v>
      </c>
      <c r="E11" t="s">
        <v>254</v>
      </c>
      <c r="F11" t="s">
        <v>206</v>
      </c>
      <c r="G11" t="s">
        <v>22</v>
      </c>
      <c r="H11" t="s">
        <v>22</v>
      </c>
      <c r="I11" t="s">
        <v>22</v>
      </c>
      <c r="J11" t="s">
        <v>27</v>
      </c>
      <c r="K11" t="s">
        <v>27</v>
      </c>
      <c r="L11" t="s">
        <v>27</v>
      </c>
      <c r="M11" t="s">
        <v>27</v>
      </c>
      <c r="N11">
        <v>1263</v>
      </c>
      <c r="O11">
        <v>2517</v>
      </c>
      <c r="P11">
        <v>8042</v>
      </c>
      <c r="Q11">
        <v>8222</v>
      </c>
      <c r="R11">
        <v>9686</v>
      </c>
      <c r="S11">
        <f>SUM(Table1[[#This Row],[2017]:[2021]])</f>
        <v>29730</v>
      </c>
      <c r="T11" s="4">
        <f t="shared" si="0"/>
        <v>0.66412244620782168</v>
      </c>
    </row>
    <row r="12" spans="1:20" x14ac:dyDescent="0.25">
      <c r="A12" t="s">
        <v>235</v>
      </c>
      <c r="B12" t="s">
        <v>236</v>
      </c>
      <c r="C12" t="s">
        <v>305</v>
      </c>
      <c r="D12" t="s">
        <v>237</v>
      </c>
      <c r="E12" t="s">
        <v>238</v>
      </c>
      <c r="F12" t="s">
        <v>206</v>
      </c>
      <c r="G12" t="s">
        <v>22</v>
      </c>
      <c r="H12" t="s">
        <v>22</v>
      </c>
      <c r="I12" t="s">
        <v>22</v>
      </c>
      <c r="J12" t="s">
        <v>27</v>
      </c>
      <c r="K12" t="s">
        <v>27</v>
      </c>
      <c r="L12" t="s">
        <v>22</v>
      </c>
      <c r="M12" t="s">
        <v>27</v>
      </c>
      <c r="N12">
        <v>1357</v>
      </c>
      <c r="O12">
        <v>4189</v>
      </c>
      <c r="P12">
        <v>5407</v>
      </c>
      <c r="Q12">
        <v>6233</v>
      </c>
      <c r="R12">
        <v>9681</v>
      </c>
      <c r="S12">
        <f>SUM(Table1[[#This Row],[2017]:[2021]])</f>
        <v>26867</v>
      </c>
      <c r="T12" s="4">
        <f t="shared" si="0"/>
        <v>0.63431246502429839</v>
      </c>
    </row>
    <row r="13" spans="1:20" x14ac:dyDescent="0.25">
      <c r="A13" t="s">
        <v>186</v>
      </c>
      <c r="B13" t="s">
        <v>187</v>
      </c>
      <c r="C13" t="s">
        <v>305</v>
      </c>
      <c r="D13" t="s">
        <v>188</v>
      </c>
      <c r="E13" t="s">
        <v>189</v>
      </c>
      <c r="F13" t="s">
        <v>145</v>
      </c>
      <c r="G13" t="s">
        <v>22</v>
      </c>
      <c r="H13" t="s">
        <v>22</v>
      </c>
      <c r="I13" t="s">
        <v>22</v>
      </c>
      <c r="J13" t="s">
        <v>22</v>
      </c>
      <c r="K13" t="s">
        <v>22</v>
      </c>
      <c r="L13" t="s">
        <v>22</v>
      </c>
      <c r="M13" t="s">
        <v>22</v>
      </c>
      <c r="N13">
        <v>1038</v>
      </c>
      <c r="O13">
        <v>3615</v>
      </c>
      <c r="P13">
        <v>3712</v>
      </c>
      <c r="Q13">
        <v>5819</v>
      </c>
      <c r="R13">
        <v>9589</v>
      </c>
      <c r="S13">
        <f>SUM(Table1[[#This Row],[2017]:[2021]])</f>
        <v>23773</v>
      </c>
      <c r="T13" s="4">
        <f t="shared" si="0"/>
        <v>0.74338775485751718</v>
      </c>
    </row>
    <row r="14" spans="1:20" x14ac:dyDescent="0.25">
      <c r="A14" t="s">
        <v>154</v>
      </c>
      <c r="B14" t="s">
        <v>155</v>
      </c>
      <c r="C14" t="s">
        <v>305</v>
      </c>
      <c r="D14" t="s">
        <v>156</v>
      </c>
      <c r="E14" t="s">
        <v>157</v>
      </c>
      <c r="F14" t="s">
        <v>145</v>
      </c>
      <c r="G14" t="s">
        <v>22</v>
      </c>
      <c r="H14" t="s">
        <v>22</v>
      </c>
      <c r="I14" t="s">
        <v>22</v>
      </c>
      <c r="J14" t="s">
        <v>27</v>
      </c>
      <c r="K14" t="s">
        <v>27</v>
      </c>
      <c r="L14" t="s">
        <v>22</v>
      </c>
      <c r="M14" t="s">
        <v>22</v>
      </c>
      <c r="N14">
        <v>3297</v>
      </c>
      <c r="O14">
        <v>4866</v>
      </c>
      <c r="P14">
        <v>4928</v>
      </c>
      <c r="Q14">
        <v>8451</v>
      </c>
      <c r="R14">
        <v>9585</v>
      </c>
      <c r="S14">
        <f>SUM(Table1[[#This Row],[2017]:[2021]])</f>
        <v>31127</v>
      </c>
      <c r="T14" s="4">
        <f t="shared" si="0"/>
        <v>0.30577482876902251</v>
      </c>
    </row>
    <row r="15" spans="1:20" x14ac:dyDescent="0.25">
      <c r="A15" t="s">
        <v>117</v>
      </c>
      <c r="B15" t="s">
        <v>118</v>
      </c>
      <c r="C15" t="s">
        <v>305</v>
      </c>
      <c r="D15" t="s">
        <v>119</v>
      </c>
      <c r="E15" t="s">
        <v>120</v>
      </c>
      <c r="F15" t="s">
        <v>84</v>
      </c>
      <c r="G15" t="s">
        <v>22</v>
      </c>
      <c r="H15" t="s">
        <v>22</v>
      </c>
      <c r="I15" t="s">
        <v>27</v>
      </c>
      <c r="J15" t="s">
        <v>22</v>
      </c>
      <c r="K15" t="s">
        <v>22</v>
      </c>
      <c r="L15" t="s">
        <v>22</v>
      </c>
      <c r="M15" t="s">
        <v>27</v>
      </c>
      <c r="N15">
        <v>570</v>
      </c>
      <c r="O15">
        <v>1322</v>
      </c>
      <c r="P15">
        <v>7279</v>
      </c>
      <c r="Q15">
        <v>8443</v>
      </c>
      <c r="R15">
        <v>9571</v>
      </c>
      <c r="S15">
        <f>SUM(Table1[[#This Row],[2017]:[2021]])</f>
        <v>27185</v>
      </c>
      <c r="T15" s="4">
        <f t="shared" si="0"/>
        <v>1.0242801438529217</v>
      </c>
    </row>
    <row r="16" spans="1:20" x14ac:dyDescent="0.25">
      <c r="A16" t="s">
        <v>113</v>
      </c>
      <c r="B16" t="s">
        <v>114</v>
      </c>
      <c r="C16" t="s">
        <v>305</v>
      </c>
      <c r="D16" t="s">
        <v>115</v>
      </c>
      <c r="E16" t="s">
        <v>116</v>
      </c>
      <c r="F16" t="s">
        <v>84</v>
      </c>
      <c r="G16" t="s">
        <v>22</v>
      </c>
      <c r="H16" t="s">
        <v>22</v>
      </c>
      <c r="I16" t="s">
        <v>27</v>
      </c>
      <c r="J16" t="s">
        <v>22</v>
      </c>
      <c r="K16" t="s">
        <v>22</v>
      </c>
      <c r="L16" t="s">
        <v>22</v>
      </c>
      <c r="M16" t="s">
        <v>27</v>
      </c>
      <c r="N16">
        <v>1779</v>
      </c>
      <c r="O16">
        <v>2124</v>
      </c>
      <c r="P16">
        <v>2844</v>
      </c>
      <c r="Q16">
        <v>6877</v>
      </c>
      <c r="R16">
        <v>9570</v>
      </c>
      <c r="S16">
        <f>SUM(Table1[[#This Row],[2017]:[2021]])</f>
        <v>23194</v>
      </c>
      <c r="T16" s="4">
        <f t="shared" si="0"/>
        <v>0.52294422157633269</v>
      </c>
    </row>
    <row r="17" spans="1:20" x14ac:dyDescent="0.25">
      <c r="A17" t="s">
        <v>158</v>
      </c>
      <c r="B17" t="s">
        <v>159</v>
      </c>
      <c r="C17" t="s">
        <v>305</v>
      </c>
      <c r="D17" t="s">
        <v>160</v>
      </c>
      <c r="E17" t="s">
        <v>161</v>
      </c>
      <c r="F17" t="s">
        <v>145</v>
      </c>
      <c r="G17" t="s">
        <v>22</v>
      </c>
      <c r="H17" t="s">
        <v>22</v>
      </c>
      <c r="I17" t="s">
        <v>22</v>
      </c>
      <c r="J17" t="s">
        <v>22</v>
      </c>
      <c r="K17" t="s">
        <v>22</v>
      </c>
      <c r="L17" t="s">
        <v>22</v>
      </c>
      <c r="M17" t="s">
        <v>22</v>
      </c>
      <c r="N17">
        <v>1092</v>
      </c>
      <c r="O17">
        <v>3140</v>
      </c>
      <c r="P17">
        <v>4123</v>
      </c>
      <c r="Q17">
        <v>4366</v>
      </c>
      <c r="R17">
        <v>9482</v>
      </c>
      <c r="S17">
        <f>SUM(Table1[[#This Row],[2017]:[2021]])</f>
        <v>22203</v>
      </c>
      <c r="T17" s="4">
        <f t="shared" si="0"/>
        <v>0.71660086943635504</v>
      </c>
    </row>
    <row r="18" spans="1:20" x14ac:dyDescent="0.25">
      <c r="A18" t="s">
        <v>32</v>
      </c>
      <c r="B18" t="s">
        <v>33</v>
      </c>
      <c r="C18" t="s">
        <v>305</v>
      </c>
      <c r="D18" t="s">
        <v>34</v>
      </c>
      <c r="E18" t="s">
        <v>35</v>
      </c>
      <c r="F18" t="s">
        <v>21</v>
      </c>
      <c r="G18" t="s">
        <v>22</v>
      </c>
      <c r="H18" t="s">
        <v>22</v>
      </c>
      <c r="I18" t="s">
        <v>22</v>
      </c>
      <c r="J18" t="s">
        <v>22</v>
      </c>
      <c r="K18" t="s">
        <v>22</v>
      </c>
      <c r="L18" t="s">
        <v>22</v>
      </c>
      <c r="M18" t="s">
        <v>22</v>
      </c>
      <c r="N18">
        <v>906</v>
      </c>
      <c r="O18">
        <v>1251</v>
      </c>
      <c r="P18">
        <v>2897</v>
      </c>
      <c r="Q18">
        <v>4499</v>
      </c>
      <c r="R18">
        <v>9428</v>
      </c>
      <c r="S18">
        <f>SUM(Table1[[#This Row],[2017]:[2021]])</f>
        <v>18981</v>
      </c>
      <c r="T18" s="4">
        <f t="shared" si="0"/>
        <v>0.79606828454142997</v>
      </c>
    </row>
    <row r="19" spans="1:20" x14ac:dyDescent="0.25">
      <c r="A19" t="s">
        <v>162</v>
      </c>
      <c r="B19" t="s">
        <v>163</v>
      </c>
      <c r="C19" t="s">
        <v>305</v>
      </c>
      <c r="D19" t="s">
        <v>164</v>
      </c>
      <c r="E19" t="s">
        <v>165</v>
      </c>
      <c r="F19" t="s">
        <v>145</v>
      </c>
      <c r="G19" t="s">
        <v>22</v>
      </c>
      <c r="H19" t="s">
        <v>22</v>
      </c>
      <c r="I19" t="s">
        <v>22</v>
      </c>
      <c r="J19" t="s">
        <v>27</v>
      </c>
      <c r="K19" t="s">
        <v>27</v>
      </c>
      <c r="L19" t="s">
        <v>22</v>
      </c>
      <c r="M19" t="s">
        <v>22</v>
      </c>
      <c r="N19">
        <v>2541</v>
      </c>
      <c r="O19">
        <v>3794</v>
      </c>
      <c r="P19">
        <v>3984</v>
      </c>
      <c r="Q19">
        <v>8803</v>
      </c>
      <c r="R19">
        <v>9338</v>
      </c>
      <c r="S19">
        <f>SUM(Table1[[#This Row],[2017]:[2021]])</f>
        <v>28460</v>
      </c>
      <c r="T19" s="4">
        <f t="shared" si="0"/>
        <v>0.38456165928272146</v>
      </c>
    </row>
    <row r="20" spans="1:20" x14ac:dyDescent="0.25">
      <c r="A20" t="s">
        <v>227</v>
      </c>
      <c r="B20" t="s">
        <v>228</v>
      </c>
      <c r="C20" t="s">
        <v>305</v>
      </c>
      <c r="D20" t="s">
        <v>229</v>
      </c>
      <c r="E20" t="s">
        <v>230</v>
      </c>
      <c r="F20" t="s">
        <v>206</v>
      </c>
      <c r="G20" t="s">
        <v>22</v>
      </c>
      <c r="H20" t="s">
        <v>22</v>
      </c>
      <c r="I20" t="s">
        <v>22</v>
      </c>
      <c r="J20" t="s">
        <v>27</v>
      </c>
      <c r="K20" t="s">
        <v>27</v>
      </c>
      <c r="L20" t="s">
        <v>22</v>
      </c>
      <c r="M20" t="s">
        <v>27</v>
      </c>
      <c r="N20">
        <v>1082</v>
      </c>
      <c r="O20">
        <v>3353</v>
      </c>
      <c r="P20">
        <v>6351</v>
      </c>
      <c r="Q20">
        <v>8550</v>
      </c>
      <c r="R20">
        <v>9272</v>
      </c>
      <c r="S20">
        <f>SUM(Table1[[#This Row],[2017]:[2021]])</f>
        <v>28608</v>
      </c>
      <c r="T20" s="4">
        <f t="shared" si="0"/>
        <v>0.71094693671276654</v>
      </c>
    </row>
    <row r="21" spans="1:20" x14ac:dyDescent="0.25">
      <c r="A21" t="s">
        <v>72</v>
      </c>
      <c r="B21" t="s">
        <v>73</v>
      </c>
      <c r="C21" t="s">
        <v>305</v>
      </c>
      <c r="D21" t="s">
        <v>74</v>
      </c>
      <c r="E21" t="s">
        <v>75</v>
      </c>
      <c r="F21" t="s">
        <v>21</v>
      </c>
      <c r="G21" t="s">
        <v>22</v>
      </c>
      <c r="H21" t="s">
        <v>22</v>
      </c>
      <c r="I21" t="s">
        <v>22</v>
      </c>
      <c r="J21" t="s">
        <v>22</v>
      </c>
      <c r="K21" t="s">
        <v>22</v>
      </c>
      <c r="L21" t="s">
        <v>22</v>
      </c>
      <c r="M21" t="s">
        <v>22</v>
      </c>
      <c r="N21">
        <v>861</v>
      </c>
      <c r="O21">
        <v>1314</v>
      </c>
      <c r="P21">
        <v>1810</v>
      </c>
      <c r="Q21">
        <v>6510</v>
      </c>
      <c r="R21">
        <v>9271</v>
      </c>
      <c r="S21">
        <f>SUM(Table1[[#This Row],[2017]:[2021]])</f>
        <v>19766</v>
      </c>
      <c r="T21" s="4">
        <f t="shared" si="0"/>
        <v>0.81146879617010592</v>
      </c>
    </row>
    <row r="22" spans="1:20" x14ac:dyDescent="0.25">
      <c r="A22" t="s">
        <v>89</v>
      </c>
      <c r="B22" t="s">
        <v>90</v>
      </c>
      <c r="C22" t="s">
        <v>305</v>
      </c>
      <c r="D22" t="s">
        <v>91</v>
      </c>
      <c r="E22" t="s">
        <v>92</v>
      </c>
      <c r="F22" t="s">
        <v>84</v>
      </c>
      <c r="G22" t="s">
        <v>22</v>
      </c>
      <c r="H22" t="s">
        <v>22</v>
      </c>
      <c r="I22" t="s">
        <v>27</v>
      </c>
      <c r="J22" t="s">
        <v>22</v>
      </c>
      <c r="K22" t="s">
        <v>27</v>
      </c>
      <c r="L22" t="s">
        <v>22</v>
      </c>
      <c r="M22" t="s">
        <v>27</v>
      </c>
      <c r="N22">
        <v>700</v>
      </c>
      <c r="O22">
        <v>5721</v>
      </c>
      <c r="P22">
        <v>6247</v>
      </c>
      <c r="Q22">
        <v>8495</v>
      </c>
      <c r="R22">
        <v>9236</v>
      </c>
      <c r="S22">
        <f>SUM(Table1[[#This Row],[2017]:[2021]])</f>
        <v>30399</v>
      </c>
      <c r="T22" s="4">
        <f t="shared" si="0"/>
        <v>0.90588403033885334</v>
      </c>
    </row>
    <row r="23" spans="1:20" x14ac:dyDescent="0.25">
      <c r="A23" t="s">
        <v>80</v>
      </c>
      <c r="B23" t="s">
        <v>81</v>
      </c>
      <c r="C23" t="s">
        <v>305</v>
      </c>
      <c r="D23" t="s">
        <v>82</v>
      </c>
      <c r="E23" t="s">
        <v>83</v>
      </c>
      <c r="F23" t="s">
        <v>84</v>
      </c>
      <c r="G23" t="s">
        <v>22</v>
      </c>
      <c r="H23" t="s">
        <v>22</v>
      </c>
      <c r="I23" t="s">
        <v>27</v>
      </c>
      <c r="J23" t="s">
        <v>27</v>
      </c>
      <c r="K23" t="s">
        <v>27</v>
      </c>
      <c r="L23" t="s">
        <v>27</v>
      </c>
      <c r="M23" t="s">
        <v>27</v>
      </c>
      <c r="N23">
        <v>3501</v>
      </c>
      <c r="O23">
        <v>7079</v>
      </c>
      <c r="P23">
        <v>7438</v>
      </c>
      <c r="Q23">
        <v>7443</v>
      </c>
      <c r="R23">
        <v>9225</v>
      </c>
      <c r="S23">
        <f>SUM(Table1[[#This Row],[2017]:[2021]])</f>
        <v>34686</v>
      </c>
      <c r="T23" s="4">
        <f t="shared" si="0"/>
        <v>0.27407081068210992</v>
      </c>
    </row>
    <row r="24" spans="1:20" x14ac:dyDescent="0.25">
      <c r="A24" t="s">
        <v>174</v>
      </c>
      <c r="B24" t="s">
        <v>175</v>
      </c>
      <c r="C24" t="s">
        <v>305</v>
      </c>
      <c r="D24" t="s">
        <v>176</v>
      </c>
      <c r="E24" t="s">
        <v>177</v>
      </c>
      <c r="F24" t="s">
        <v>145</v>
      </c>
      <c r="G24" t="s">
        <v>22</v>
      </c>
      <c r="H24" t="s">
        <v>22</v>
      </c>
      <c r="I24" t="s">
        <v>22</v>
      </c>
      <c r="J24" t="s">
        <v>22</v>
      </c>
      <c r="K24" t="s">
        <v>22</v>
      </c>
      <c r="L24" t="s">
        <v>22</v>
      </c>
      <c r="M24" t="s">
        <v>22</v>
      </c>
      <c r="N24">
        <v>488</v>
      </c>
      <c r="O24">
        <v>5535</v>
      </c>
      <c r="P24">
        <v>5775</v>
      </c>
      <c r="Q24">
        <v>7661</v>
      </c>
      <c r="R24">
        <v>9206</v>
      </c>
      <c r="S24">
        <f>SUM(Table1[[#This Row],[2017]:[2021]])</f>
        <v>28665</v>
      </c>
      <c r="T24" s="4">
        <f t="shared" si="0"/>
        <v>1.084072328017021</v>
      </c>
    </row>
    <row r="25" spans="1:20" x14ac:dyDescent="0.25">
      <c r="A25" t="s">
        <v>17</v>
      </c>
      <c r="B25" t="s">
        <v>18</v>
      </c>
      <c r="C25" t="s">
        <v>305</v>
      </c>
      <c r="D25" t="s">
        <v>19</v>
      </c>
      <c r="E25" t="s">
        <v>20</v>
      </c>
      <c r="F25" t="s">
        <v>21</v>
      </c>
      <c r="G25" t="s">
        <v>22</v>
      </c>
      <c r="H25" t="s">
        <v>22</v>
      </c>
      <c r="I25" t="s">
        <v>22</v>
      </c>
      <c r="J25" t="s">
        <v>22</v>
      </c>
      <c r="K25" t="s">
        <v>22</v>
      </c>
      <c r="L25" t="s">
        <v>22</v>
      </c>
      <c r="M25" t="s">
        <v>22</v>
      </c>
      <c r="N25">
        <v>1982</v>
      </c>
      <c r="O25">
        <v>5388</v>
      </c>
      <c r="P25">
        <v>7063</v>
      </c>
      <c r="Q25">
        <v>7208</v>
      </c>
      <c r="R25">
        <v>9093</v>
      </c>
      <c r="S25">
        <f>SUM(Table1[[#This Row],[2017]:[2021]])</f>
        <v>30734</v>
      </c>
      <c r="T25" s="4">
        <f t="shared" si="0"/>
        <v>0.46352749292411066</v>
      </c>
    </row>
    <row r="26" spans="1:20" x14ac:dyDescent="0.25">
      <c r="A26" t="s">
        <v>207</v>
      </c>
      <c r="B26" t="s">
        <v>208</v>
      </c>
      <c r="C26" t="s">
        <v>305</v>
      </c>
      <c r="D26" t="s">
        <v>209</v>
      </c>
      <c r="E26" t="s">
        <v>210</v>
      </c>
      <c r="F26" t="s">
        <v>206</v>
      </c>
      <c r="G26" t="s">
        <v>22</v>
      </c>
      <c r="H26" t="s">
        <v>22</v>
      </c>
      <c r="I26" t="s">
        <v>22</v>
      </c>
      <c r="J26" t="s">
        <v>27</v>
      </c>
      <c r="K26" t="s">
        <v>27</v>
      </c>
      <c r="L26" t="s">
        <v>22</v>
      </c>
      <c r="M26" t="s">
        <v>27</v>
      </c>
      <c r="N26">
        <v>299</v>
      </c>
      <c r="O26">
        <v>657</v>
      </c>
      <c r="P26">
        <v>6238</v>
      </c>
      <c r="Q26">
        <v>8922</v>
      </c>
      <c r="R26">
        <v>9081</v>
      </c>
      <c r="S26">
        <f>SUM(Table1[[#This Row],[2017]:[2021]])</f>
        <v>25197</v>
      </c>
      <c r="T26" s="4">
        <f t="shared" si="0"/>
        <v>1.3475541667800686</v>
      </c>
    </row>
    <row r="27" spans="1:20" x14ac:dyDescent="0.25">
      <c r="A27" t="s">
        <v>194</v>
      </c>
      <c r="B27" t="s">
        <v>195</v>
      </c>
      <c r="C27" t="s">
        <v>305</v>
      </c>
      <c r="D27" t="s">
        <v>196</v>
      </c>
      <c r="E27" t="s">
        <v>197</v>
      </c>
      <c r="F27" t="s">
        <v>145</v>
      </c>
      <c r="G27" t="s">
        <v>22</v>
      </c>
      <c r="H27" t="s">
        <v>22</v>
      </c>
      <c r="I27" t="s">
        <v>22</v>
      </c>
      <c r="J27" t="s">
        <v>22</v>
      </c>
      <c r="K27" t="s">
        <v>27</v>
      </c>
      <c r="L27" t="s">
        <v>27</v>
      </c>
      <c r="M27" t="s">
        <v>27</v>
      </c>
      <c r="N27">
        <v>1290</v>
      </c>
      <c r="O27">
        <v>4033</v>
      </c>
      <c r="P27">
        <v>6956</v>
      </c>
      <c r="Q27">
        <v>7929</v>
      </c>
      <c r="R27">
        <v>8834</v>
      </c>
      <c r="S27">
        <f>SUM(Table1[[#This Row],[2017]:[2021]])</f>
        <v>29042</v>
      </c>
      <c r="T27" s="4">
        <f t="shared" si="0"/>
        <v>0.61767741115573149</v>
      </c>
    </row>
    <row r="28" spans="1:20" x14ac:dyDescent="0.25">
      <c r="A28" t="s">
        <v>141</v>
      </c>
      <c r="B28" t="s">
        <v>142</v>
      </c>
      <c r="C28" t="s">
        <v>305</v>
      </c>
      <c r="D28" t="s">
        <v>143</v>
      </c>
      <c r="E28" t="s">
        <v>144</v>
      </c>
      <c r="F28" t="s">
        <v>145</v>
      </c>
      <c r="G28" t="s">
        <v>22</v>
      </c>
      <c r="H28" t="s">
        <v>22</v>
      </c>
      <c r="I28" t="s">
        <v>22</v>
      </c>
      <c r="J28" t="s">
        <v>27</v>
      </c>
      <c r="K28" t="s">
        <v>27</v>
      </c>
      <c r="L28" t="s">
        <v>22</v>
      </c>
      <c r="M28" t="s">
        <v>27</v>
      </c>
      <c r="N28">
        <v>2519</v>
      </c>
      <c r="O28">
        <v>3938</v>
      </c>
      <c r="P28">
        <v>5190</v>
      </c>
      <c r="Q28">
        <v>8203</v>
      </c>
      <c r="R28">
        <v>8780</v>
      </c>
      <c r="S28">
        <f>SUM(Table1[[#This Row],[2017]:[2021]])</f>
        <v>28630</v>
      </c>
      <c r="T28" s="4">
        <f t="shared" si="0"/>
        <v>0.36636455401735013</v>
      </c>
    </row>
    <row r="29" spans="1:20" x14ac:dyDescent="0.25">
      <c r="A29" t="s">
        <v>40</v>
      </c>
      <c r="B29" t="s">
        <v>41</v>
      </c>
      <c r="C29" t="s">
        <v>305</v>
      </c>
      <c r="D29" t="s">
        <v>42</v>
      </c>
      <c r="E29" t="s">
        <v>43</v>
      </c>
      <c r="F29" t="s">
        <v>21</v>
      </c>
      <c r="G29" t="s">
        <v>22</v>
      </c>
      <c r="H29" t="s">
        <v>22</v>
      </c>
      <c r="I29" t="s">
        <v>22</v>
      </c>
      <c r="J29" t="s">
        <v>27</v>
      </c>
      <c r="K29" t="s">
        <v>22</v>
      </c>
      <c r="L29" t="s">
        <v>22</v>
      </c>
      <c r="M29" t="s">
        <v>27</v>
      </c>
      <c r="N29">
        <v>2341</v>
      </c>
      <c r="O29">
        <v>6105</v>
      </c>
      <c r="P29">
        <v>7777</v>
      </c>
      <c r="Q29">
        <v>7891</v>
      </c>
      <c r="R29">
        <v>8758</v>
      </c>
      <c r="S29">
        <f>SUM(Table1[[#This Row],[2017]:[2021]])</f>
        <v>32872</v>
      </c>
      <c r="T29" s="4">
        <f t="shared" si="0"/>
        <v>0.390755806385503</v>
      </c>
    </row>
    <row r="30" spans="1:20" x14ac:dyDescent="0.25">
      <c r="A30" t="s">
        <v>146</v>
      </c>
      <c r="B30" t="s">
        <v>147</v>
      </c>
      <c r="C30" t="s">
        <v>305</v>
      </c>
      <c r="D30" t="s">
        <v>148</v>
      </c>
      <c r="E30" t="s">
        <v>149</v>
      </c>
      <c r="F30" t="s">
        <v>145</v>
      </c>
      <c r="G30" t="s">
        <v>22</v>
      </c>
      <c r="H30" t="s">
        <v>22</v>
      </c>
      <c r="I30" t="s">
        <v>22</v>
      </c>
      <c r="J30" t="s">
        <v>22</v>
      </c>
      <c r="K30" t="s">
        <v>22</v>
      </c>
      <c r="L30" t="s">
        <v>22</v>
      </c>
      <c r="M30" t="s">
        <v>27</v>
      </c>
      <c r="N30">
        <v>138</v>
      </c>
      <c r="O30">
        <v>286</v>
      </c>
      <c r="P30">
        <v>6750</v>
      </c>
      <c r="Q30">
        <v>8254</v>
      </c>
      <c r="R30">
        <v>8656</v>
      </c>
      <c r="S30">
        <f>SUM(Table1[[#This Row],[2017]:[2021]])</f>
        <v>24084</v>
      </c>
      <c r="T30" s="4">
        <f t="shared" si="0"/>
        <v>1.8142296888697582</v>
      </c>
    </row>
    <row r="31" spans="1:20" x14ac:dyDescent="0.25">
      <c r="A31" t="s">
        <v>133</v>
      </c>
      <c r="B31" t="s">
        <v>134</v>
      </c>
      <c r="C31" t="s">
        <v>305</v>
      </c>
      <c r="D31" t="s">
        <v>135</v>
      </c>
      <c r="E31" t="s">
        <v>136</v>
      </c>
      <c r="F31" t="s">
        <v>84</v>
      </c>
      <c r="G31" t="s">
        <v>22</v>
      </c>
      <c r="H31" t="s">
        <v>22</v>
      </c>
      <c r="I31" t="s">
        <v>27</v>
      </c>
      <c r="J31" t="s">
        <v>22</v>
      </c>
      <c r="K31" t="s">
        <v>27</v>
      </c>
      <c r="L31" t="s">
        <v>22</v>
      </c>
      <c r="M31" t="s">
        <v>27</v>
      </c>
      <c r="N31">
        <v>712</v>
      </c>
      <c r="O31">
        <v>4182</v>
      </c>
      <c r="P31">
        <v>6087</v>
      </c>
      <c r="Q31">
        <v>7494</v>
      </c>
      <c r="R31">
        <v>8599</v>
      </c>
      <c r="S31">
        <f>SUM(Table1[[#This Row],[2017]:[2021]])</f>
        <v>27074</v>
      </c>
      <c r="T31" s="4">
        <f t="shared" si="0"/>
        <v>0.86419779018759768</v>
      </c>
    </row>
    <row r="32" spans="1:20" x14ac:dyDescent="0.25">
      <c r="A32" t="s">
        <v>68</v>
      </c>
      <c r="B32" t="s">
        <v>69</v>
      </c>
      <c r="C32" t="s">
        <v>305</v>
      </c>
      <c r="D32" t="s">
        <v>70</v>
      </c>
      <c r="E32" t="s">
        <v>71</v>
      </c>
      <c r="F32" t="s">
        <v>21</v>
      </c>
      <c r="G32" t="s">
        <v>22</v>
      </c>
      <c r="H32" t="s">
        <v>27</v>
      </c>
      <c r="I32" t="s">
        <v>22</v>
      </c>
      <c r="J32" t="s">
        <v>22</v>
      </c>
      <c r="K32" t="s">
        <v>22</v>
      </c>
      <c r="L32" t="s">
        <v>22</v>
      </c>
      <c r="M32" t="s">
        <v>22</v>
      </c>
      <c r="N32">
        <v>24</v>
      </c>
      <c r="O32">
        <v>1797</v>
      </c>
      <c r="P32">
        <v>3548</v>
      </c>
      <c r="Q32">
        <v>3668</v>
      </c>
      <c r="R32">
        <v>8592</v>
      </c>
      <c r="S32">
        <f>SUM(Table1[[#This Row],[2017]:[2021]])</f>
        <v>17629</v>
      </c>
      <c r="T32" s="4">
        <f t="shared" si="0"/>
        <v>3.3498147004699526</v>
      </c>
    </row>
    <row r="33" spans="1:20" x14ac:dyDescent="0.25">
      <c r="A33" t="s">
        <v>125</v>
      </c>
      <c r="B33" t="s">
        <v>126</v>
      </c>
      <c r="C33" t="s">
        <v>305</v>
      </c>
      <c r="D33" t="s">
        <v>127</v>
      </c>
      <c r="E33" t="s">
        <v>128</v>
      </c>
      <c r="F33" t="s">
        <v>84</v>
      </c>
      <c r="G33" t="s">
        <v>22</v>
      </c>
      <c r="H33" t="s">
        <v>22</v>
      </c>
      <c r="I33" t="s">
        <v>27</v>
      </c>
      <c r="J33" t="s">
        <v>22</v>
      </c>
      <c r="K33" t="s">
        <v>22</v>
      </c>
      <c r="L33" t="s">
        <v>22</v>
      </c>
      <c r="M33" t="s">
        <v>27</v>
      </c>
      <c r="N33">
        <v>209</v>
      </c>
      <c r="O33">
        <v>621</v>
      </c>
      <c r="P33">
        <v>3098</v>
      </c>
      <c r="Q33">
        <v>7118</v>
      </c>
      <c r="R33">
        <v>8433</v>
      </c>
      <c r="S33">
        <f>SUM(Table1[[#This Row],[2017]:[2021]])</f>
        <v>19479</v>
      </c>
      <c r="T33" s="4">
        <f t="shared" si="0"/>
        <v>1.5203389637502625</v>
      </c>
    </row>
    <row r="34" spans="1:20" x14ac:dyDescent="0.25">
      <c r="A34" t="s">
        <v>198</v>
      </c>
      <c r="B34" t="s">
        <v>199</v>
      </c>
      <c r="C34" t="s">
        <v>305</v>
      </c>
      <c r="D34" t="s">
        <v>200</v>
      </c>
      <c r="E34" t="s">
        <v>201</v>
      </c>
      <c r="F34" t="s">
        <v>145</v>
      </c>
      <c r="G34" t="s">
        <v>22</v>
      </c>
      <c r="H34" t="s">
        <v>22</v>
      </c>
      <c r="I34" t="s">
        <v>22</v>
      </c>
      <c r="J34" t="s">
        <v>22</v>
      </c>
      <c r="K34" t="s">
        <v>22</v>
      </c>
      <c r="L34" t="s">
        <v>27</v>
      </c>
      <c r="M34" t="s">
        <v>27</v>
      </c>
      <c r="N34">
        <v>431</v>
      </c>
      <c r="O34">
        <v>6231</v>
      </c>
      <c r="P34">
        <v>7478</v>
      </c>
      <c r="Q34">
        <v>8039</v>
      </c>
      <c r="R34">
        <v>8271</v>
      </c>
      <c r="S34">
        <f>SUM(Table1[[#This Row],[2017]:[2021]])</f>
        <v>30450</v>
      </c>
      <c r="T34" s="4">
        <f t="shared" si="0"/>
        <v>1.0930046233022455</v>
      </c>
    </row>
    <row r="35" spans="1:20" x14ac:dyDescent="0.25">
      <c r="A35" t="s">
        <v>101</v>
      </c>
      <c r="B35" t="s">
        <v>102</v>
      </c>
      <c r="C35" t="s">
        <v>305</v>
      </c>
      <c r="D35" t="s">
        <v>103</v>
      </c>
      <c r="E35" t="s">
        <v>104</v>
      </c>
      <c r="F35" t="s">
        <v>84</v>
      </c>
      <c r="G35" t="s">
        <v>22</v>
      </c>
      <c r="H35" t="s">
        <v>22</v>
      </c>
      <c r="I35" t="s">
        <v>27</v>
      </c>
      <c r="J35" t="s">
        <v>22</v>
      </c>
      <c r="K35" t="s">
        <v>27</v>
      </c>
      <c r="L35" t="s">
        <v>22</v>
      </c>
      <c r="M35" t="s">
        <v>27</v>
      </c>
      <c r="N35">
        <v>238</v>
      </c>
      <c r="O35">
        <v>1235</v>
      </c>
      <c r="P35">
        <v>1822</v>
      </c>
      <c r="Q35">
        <v>7074</v>
      </c>
      <c r="R35">
        <v>8207</v>
      </c>
      <c r="S35">
        <f>SUM(Table1[[#This Row],[2017]:[2021]])</f>
        <v>18576</v>
      </c>
      <c r="T35" s="4">
        <f t="shared" si="0"/>
        <v>1.4232703532020747</v>
      </c>
    </row>
    <row r="36" spans="1:20" x14ac:dyDescent="0.25">
      <c r="A36" t="s">
        <v>211</v>
      </c>
      <c r="B36" t="s">
        <v>212</v>
      </c>
      <c r="C36" t="s">
        <v>305</v>
      </c>
      <c r="D36" t="s">
        <v>213</v>
      </c>
      <c r="E36" t="s">
        <v>214</v>
      </c>
      <c r="F36" t="s">
        <v>206</v>
      </c>
      <c r="G36" t="s">
        <v>22</v>
      </c>
      <c r="H36" t="s">
        <v>22</v>
      </c>
      <c r="I36" t="s">
        <v>22</v>
      </c>
      <c r="J36" t="s">
        <v>27</v>
      </c>
      <c r="K36" t="s">
        <v>27</v>
      </c>
      <c r="L36" t="s">
        <v>22</v>
      </c>
      <c r="M36" t="s">
        <v>27</v>
      </c>
      <c r="N36">
        <v>1323</v>
      </c>
      <c r="O36">
        <v>4963</v>
      </c>
      <c r="P36">
        <v>6292</v>
      </c>
      <c r="Q36">
        <v>6728</v>
      </c>
      <c r="R36">
        <v>8202</v>
      </c>
      <c r="S36">
        <f>SUM(Table1[[#This Row],[2017]:[2021]])</f>
        <v>27508</v>
      </c>
      <c r="T36" s="4">
        <f t="shared" si="0"/>
        <v>0.57793816418173161</v>
      </c>
    </row>
    <row r="37" spans="1:20" x14ac:dyDescent="0.25">
      <c r="A37" t="s">
        <v>97</v>
      </c>
      <c r="B37" t="s">
        <v>98</v>
      </c>
      <c r="C37" t="s">
        <v>305</v>
      </c>
      <c r="D37" t="s">
        <v>99</v>
      </c>
      <c r="E37" t="s">
        <v>100</v>
      </c>
      <c r="F37" t="s">
        <v>84</v>
      </c>
      <c r="G37" t="s">
        <v>22</v>
      </c>
      <c r="H37" t="s">
        <v>22</v>
      </c>
      <c r="I37" t="s">
        <v>27</v>
      </c>
      <c r="J37" t="s">
        <v>22</v>
      </c>
      <c r="K37" t="s">
        <v>27</v>
      </c>
      <c r="L37" t="s">
        <v>22</v>
      </c>
      <c r="M37" t="s">
        <v>27</v>
      </c>
      <c r="N37">
        <v>73</v>
      </c>
      <c r="O37">
        <v>3485</v>
      </c>
      <c r="P37">
        <v>4592</v>
      </c>
      <c r="Q37">
        <v>5143</v>
      </c>
      <c r="R37">
        <v>8100</v>
      </c>
      <c r="S37">
        <f>SUM(Table1[[#This Row],[2017]:[2021]])</f>
        <v>21393</v>
      </c>
      <c r="T37" s="4">
        <f t="shared" ref="T37:T64" si="1">_xlfn.RRI($R$4-$N$4,N37,R37)</f>
        <v>2.2455667067018901</v>
      </c>
    </row>
    <row r="38" spans="1:20" x14ac:dyDescent="0.25">
      <c r="A38" t="s">
        <v>259</v>
      </c>
      <c r="B38" t="s">
        <v>260</v>
      </c>
      <c r="C38" t="s">
        <v>305</v>
      </c>
      <c r="D38" t="s">
        <v>261</v>
      </c>
      <c r="E38" t="s">
        <v>262</v>
      </c>
      <c r="F38" t="s">
        <v>206</v>
      </c>
      <c r="G38" t="s">
        <v>22</v>
      </c>
      <c r="H38" t="s">
        <v>22</v>
      </c>
      <c r="I38" t="s">
        <v>22</v>
      </c>
      <c r="J38" t="s">
        <v>27</v>
      </c>
      <c r="K38" t="s">
        <v>27</v>
      </c>
      <c r="L38" t="s">
        <v>27</v>
      </c>
      <c r="M38" t="s">
        <v>27</v>
      </c>
      <c r="N38">
        <v>1014</v>
      </c>
      <c r="O38">
        <v>2254</v>
      </c>
      <c r="P38">
        <v>4534</v>
      </c>
      <c r="Q38">
        <v>6796</v>
      </c>
      <c r="R38">
        <v>7730</v>
      </c>
      <c r="S38">
        <f>SUM(Table1[[#This Row],[2017]:[2021]])</f>
        <v>22328</v>
      </c>
      <c r="T38" s="4">
        <f t="shared" si="1"/>
        <v>0.66163405613342663</v>
      </c>
    </row>
    <row r="39" spans="1:20" x14ac:dyDescent="0.25">
      <c r="A39" t="s">
        <v>85</v>
      </c>
      <c r="B39" t="s">
        <v>86</v>
      </c>
      <c r="C39" t="s">
        <v>305</v>
      </c>
      <c r="D39" t="s">
        <v>87</v>
      </c>
      <c r="E39" t="s">
        <v>88</v>
      </c>
      <c r="F39" t="s">
        <v>84</v>
      </c>
      <c r="G39" t="s">
        <v>22</v>
      </c>
      <c r="H39" t="s">
        <v>22</v>
      </c>
      <c r="I39" t="s">
        <v>27</v>
      </c>
      <c r="J39" t="s">
        <v>27</v>
      </c>
      <c r="K39" t="s">
        <v>27</v>
      </c>
      <c r="L39" t="s">
        <v>27</v>
      </c>
      <c r="M39" t="s">
        <v>27</v>
      </c>
      <c r="N39">
        <v>3916</v>
      </c>
      <c r="O39">
        <v>4218</v>
      </c>
      <c r="P39">
        <v>5072</v>
      </c>
      <c r="Q39">
        <v>5201</v>
      </c>
      <c r="R39">
        <v>7588</v>
      </c>
      <c r="S39">
        <f>SUM(Table1[[#This Row],[2017]:[2021]])</f>
        <v>25995</v>
      </c>
      <c r="T39" s="4">
        <f t="shared" si="1"/>
        <v>0.17983468576187267</v>
      </c>
    </row>
    <row r="40" spans="1:20" x14ac:dyDescent="0.25">
      <c r="A40" t="s">
        <v>178</v>
      </c>
      <c r="B40" t="s">
        <v>179</v>
      </c>
      <c r="C40" t="s">
        <v>305</v>
      </c>
      <c r="D40" t="s">
        <v>180</v>
      </c>
      <c r="E40" t="s">
        <v>181</v>
      </c>
      <c r="F40" t="s">
        <v>145</v>
      </c>
      <c r="G40" t="s">
        <v>22</v>
      </c>
      <c r="H40" t="s">
        <v>22</v>
      </c>
      <c r="I40" t="s">
        <v>22</v>
      </c>
      <c r="J40" t="s">
        <v>22</v>
      </c>
      <c r="K40" t="s">
        <v>22</v>
      </c>
      <c r="L40" t="s">
        <v>22</v>
      </c>
      <c r="M40" t="s">
        <v>22</v>
      </c>
      <c r="N40">
        <v>376</v>
      </c>
      <c r="O40">
        <v>889</v>
      </c>
      <c r="P40">
        <v>4373</v>
      </c>
      <c r="Q40">
        <v>6803</v>
      </c>
      <c r="R40">
        <v>7578</v>
      </c>
      <c r="S40">
        <f>SUM(Table1[[#This Row],[2017]:[2021]])</f>
        <v>20019</v>
      </c>
      <c r="T40" s="4">
        <f t="shared" si="1"/>
        <v>1.1188084145320056</v>
      </c>
    </row>
    <row r="41" spans="1:20" x14ac:dyDescent="0.25">
      <c r="A41" t="s">
        <v>23</v>
      </c>
      <c r="B41" t="s">
        <v>24</v>
      </c>
      <c r="C41" t="s">
        <v>305</v>
      </c>
      <c r="D41" t="s">
        <v>25</v>
      </c>
      <c r="E41" t="s">
        <v>26</v>
      </c>
      <c r="F41" t="s">
        <v>21</v>
      </c>
      <c r="G41" t="s">
        <v>22</v>
      </c>
      <c r="H41" t="s">
        <v>22</v>
      </c>
      <c r="I41" t="s">
        <v>22</v>
      </c>
      <c r="J41" t="s">
        <v>27</v>
      </c>
      <c r="K41" t="s">
        <v>22</v>
      </c>
      <c r="L41" t="s">
        <v>22</v>
      </c>
      <c r="M41" t="s">
        <v>22</v>
      </c>
      <c r="N41">
        <v>2786</v>
      </c>
      <c r="O41">
        <v>3804</v>
      </c>
      <c r="P41">
        <v>4121</v>
      </c>
      <c r="Q41">
        <v>6210</v>
      </c>
      <c r="R41">
        <v>6909</v>
      </c>
      <c r="S41">
        <f>SUM(Table1[[#This Row],[2017]:[2021]])</f>
        <v>23830</v>
      </c>
      <c r="T41" s="4">
        <f t="shared" si="1"/>
        <v>0.25489826874508914</v>
      </c>
    </row>
    <row r="42" spans="1:20" x14ac:dyDescent="0.25">
      <c r="A42" t="s">
        <v>150</v>
      </c>
      <c r="B42" t="s">
        <v>151</v>
      </c>
      <c r="C42" t="s">
        <v>305</v>
      </c>
      <c r="D42" t="s">
        <v>152</v>
      </c>
      <c r="E42" t="s">
        <v>153</v>
      </c>
      <c r="F42" t="s">
        <v>145</v>
      </c>
      <c r="G42" t="s">
        <v>22</v>
      </c>
      <c r="H42" t="s">
        <v>22</v>
      </c>
      <c r="I42" t="s">
        <v>22</v>
      </c>
      <c r="J42" t="s">
        <v>27</v>
      </c>
      <c r="K42" t="s">
        <v>27</v>
      </c>
      <c r="L42" t="s">
        <v>22</v>
      </c>
      <c r="M42" t="s">
        <v>22</v>
      </c>
      <c r="N42">
        <v>8873</v>
      </c>
      <c r="O42">
        <v>8484</v>
      </c>
      <c r="P42">
        <v>7883</v>
      </c>
      <c r="Q42">
        <v>7499</v>
      </c>
      <c r="R42">
        <v>6592</v>
      </c>
      <c r="S42">
        <f>SUM(Table1[[#This Row],[2017]:[2021]])</f>
        <v>39331</v>
      </c>
      <c r="T42" s="4">
        <f t="shared" si="1"/>
        <v>-7.1596691853915484E-2</v>
      </c>
    </row>
    <row r="43" spans="1:20" x14ac:dyDescent="0.25">
      <c r="A43" t="s">
        <v>255</v>
      </c>
      <c r="B43" t="s">
        <v>256</v>
      </c>
      <c r="C43" t="s">
        <v>305</v>
      </c>
      <c r="D43" t="s">
        <v>257</v>
      </c>
      <c r="E43" t="s">
        <v>258</v>
      </c>
      <c r="F43" t="s">
        <v>206</v>
      </c>
      <c r="G43" t="s">
        <v>22</v>
      </c>
      <c r="H43" t="s">
        <v>22</v>
      </c>
      <c r="I43" t="s">
        <v>22</v>
      </c>
      <c r="J43" t="s">
        <v>27</v>
      </c>
      <c r="K43" t="s">
        <v>27</v>
      </c>
      <c r="L43" t="s">
        <v>27</v>
      </c>
      <c r="M43" t="s">
        <v>27</v>
      </c>
      <c r="N43">
        <v>1032</v>
      </c>
      <c r="O43">
        <v>3919</v>
      </c>
      <c r="P43">
        <v>4466</v>
      </c>
      <c r="Q43">
        <v>5568</v>
      </c>
      <c r="R43">
        <v>6476</v>
      </c>
      <c r="S43">
        <f>SUM(Table1[[#This Row],[2017]:[2021]])</f>
        <v>21461</v>
      </c>
      <c r="T43" s="4">
        <f t="shared" si="1"/>
        <v>0.58272982283102692</v>
      </c>
    </row>
    <row r="44" spans="1:20" x14ac:dyDescent="0.25">
      <c r="A44" t="s">
        <v>243</v>
      </c>
      <c r="B44" t="s">
        <v>244</v>
      </c>
      <c r="C44" t="s">
        <v>305</v>
      </c>
      <c r="D44" t="s">
        <v>245</v>
      </c>
      <c r="E44" t="s">
        <v>246</v>
      </c>
      <c r="F44" t="s">
        <v>206</v>
      </c>
      <c r="G44" t="s">
        <v>22</v>
      </c>
      <c r="H44" t="s">
        <v>22</v>
      </c>
      <c r="I44" t="s">
        <v>22</v>
      </c>
      <c r="J44" t="s">
        <v>27</v>
      </c>
      <c r="K44" t="s">
        <v>27</v>
      </c>
      <c r="L44" t="s">
        <v>22</v>
      </c>
      <c r="M44" t="s">
        <v>27</v>
      </c>
      <c r="N44">
        <v>128</v>
      </c>
      <c r="O44">
        <v>416</v>
      </c>
      <c r="P44">
        <v>747</v>
      </c>
      <c r="Q44">
        <v>1028</v>
      </c>
      <c r="R44">
        <v>6357</v>
      </c>
      <c r="S44">
        <f>SUM(Table1[[#This Row],[2017]:[2021]])</f>
        <v>8676</v>
      </c>
      <c r="T44" s="4">
        <f t="shared" si="1"/>
        <v>1.6546701130112136</v>
      </c>
    </row>
    <row r="45" spans="1:20" x14ac:dyDescent="0.25">
      <c r="A45" t="s">
        <v>56</v>
      </c>
      <c r="B45" t="s">
        <v>57</v>
      </c>
      <c r="C45" t="s">
        <v>305</v>
      </c>
      <c r="D45" t="s">
        <v>58</v>
      </c>
      <c r="E45" t="s">
        <v>59</v>
      </c>
      <c r="F45" t="s">
        <v>21</v>
      </c>
      <c r="G45" t="s">
        <v>22</v>
      </c>
      <c r="H45" t="s">
        <v>22</v>
      </c>
      <c r="I45" t="s">
        <v>27</v>
      </c>
      <c r="J45" t="s">
        <v>22</v>
      </c>
      <c r="K45" t="s">
        <v>27</v>
      </c>
      <c r="L45" t="s">
        <v>22</v>
      </c>
      <c r="M45" t="s">
        <v>27</v>
      </c>
      <c r="N45">
        <v>1530</v>
      </c>
      <c r="O45">
        <v>1620</v>
      </c>
      <c r="P45">
        <v>2027</v>
      </c>
      <c r="Q45">
        <v>4881</v>
      </c>
      <c r="R45">
        <v>6002</v>
      </c>
      <c r="S45">
        <f>SUM(Table1[[#This Row],[2017]:[2021]])</f>
        <v>16060</v>
      </c>
      <c r="T45" s="4">
        <f t="shared" si="1"/>
        <v>0.40734683274409145</v>
      </c>
    </row>
    <row r="46" spans="1:20" x14ac:dyDescent="0.25">
      <c r="A46" t="s">
        <v>36</v>
      </c>
      <c r="B46" t="s">
        <v>37</v>
      </c>
      <c r="C46" t="s">
        <v>305</v>
      </c>
      <c r="D46" t="s">
        <v>38</v>
      </c>
      <c r="E46" t="s">
        <v>39</v>
      </c>
      <c r="F46" t="s">
        <v>21</v>
      </c>
      <c r="G46" t="s">
        <v>22</v>
      </c>
      <c r="H46" t="s">
        <v>22</v>
      </c>
      <c r="I46" t="s">
        <v>27</v>
      </c>
      <c r="J46" t="s">
        <v>22</v>
      </c>
      <c r="K46" t="s">
        <v>22</v>
      </c>
      <c r="L46" t="s">
        <v>22</v>
      </c>
      <c r="M46" t="s">
        <v>22</v>
      </c>
      <c r="N46">
        <v>1421</v>
      </c>
      <c r="O46">
        <v>1893</v>
      </c>
      <c r="P46">
        <v>2722</v>
      </c>
      <c r="Q46">
        <v>4410</v>
      </c>
      <c r="R46">
        <v>5873</v>
      </c>
      <c r="S46">
        <f>SUM(Table1[[#This Row],[2017]:[2021]])</f>
        <v>16319</v>
      </c>
      <c r="T46" s="4">
        <f t="shared" si="1"/>
        <v>0.42582583880267388</v>
      </c>
    </row>
    <row r="47" spans="1:20" x14ac:dyDescent="0.25">
      <c r="A47" t="s">
        <v>64</v>
      </c>
      <c r="B47" t="s">
        <v>65</v>
      </c>
      <c r="C47" t="s">
        <v>305</v>
      </c>
      <c r="D47" t="s">
        <v>66</v>
      </c>
      <c r="E47" t="s">
        <v>67</v>
      </c>
      <c r="F47" t="s">
        <v>21</v>
      </c>
      <c r="G47" t="s">
        <v>22</v>
      </c>
      <c r="H47" t="s">
        <v>27</v>
      </c>
      <c r="I47" t="s">
        <v>27</v>
      </c>
      <c r="J47" t="s">
        <v>27</v>
      </c>
      <c r="K47" t="s">
        <v>27</v>
      </c>
      <c r="L47" t="s">
        <v>27</v>
      </c>
      <c r="M47" t="s">
        <v>27</v>
      </c>
      <c r="N47">
        <v>1532</v>
      </c>
      <c r="O47">
        <v>2678</v>
      </c>
      <c r="P47">
        <v>4068</v>
      </c>
      <c r="Q47">
        <v>4278</v>
      </c>
      <c r="R47">
        <v>5382</v>
      </c>
      <c r="S47">
        <f>SUM(Table1[[#This Row],[2017]:[2021]])</f>
        <v>17938</v>
      </c>
      <c r="T47" s="4">
        <f t="shared" si="1"/>
        <v>0.3690560602470212</v>
      </c>
    </row>
    <row r="48" spans="1:20" x14ac:dyDescent="0.25">
      <c r="A48" t="s">
        <v>239</v>
      </c>
      <c r="B48" t="s">
        <v>240</v>
      </c>
      <c r="C48" t="s">
        <v>305</v>
      </c>
      <c r="D48" t="s">
        <v>241</v>
      </c>
      <c r="E48" t="s">
        <v>242</v>
      </c>
      <c r="F48" t="s">
        <v>206</v>
      </c>
      <c r="G48" t="s">
        <v>22</v>
      </c>
      <c r="H48" t="s">
        <v>27</v>
      </c>
      <c r="I48" t="s">
        <v>27</v>
      </c>
      <c r="J48" t="s">
        <v>27</v>
      </c>
      <c r="K48" t="s">
        <v>27</v>
      </c>
      <c r="L48" t="s">
        <v>22</v>
      </c>
      <c r="M48" t="s">
        <v>27</v>
      </c>
      <c r="N48">
        <v>576</v>
      </c>
      <c r="O48">
        <v>2628</v>
      </c>
      <c r="P48">
        <v>3612</v>
      </c>
      <c r="Q48">
        <v>5066</v>
      </c>
      <c r="R48">
        <v>5156</v>
      </c>
      <c r="S48">
        <f>SUM(Table1[[#This Row],[2017]:[2021]])</f>
        <v>17038</v>
      </c>
      <c r="T48" s="4">
        <f t="shared" si="1"/>
        <v>0.72970725225475852</v>
      </c>
    </row>
    <row r="49" spans="1:20" x14ac:dyDescent="0.25">
      <c r="A49" t="s">
        <v>231</v>
      </c>
      <c r="B49" t="s">
        <v>232</v>
      </c>
      <c r="C49" t="s">
        <v>305</v>
      </c>
      <c r="D49" t="s">
        <v>233</v>
      </c>
      <c r="E49" t="s">
        <v>234</v>
      </c>
      <c r="F49" t="s">
        <v>206</v>
      </c>
      <c r="G49" t="s">
        <v>22</v>
      </c>
      <c r="H49" t="s">
        <v>22</v>
      </c>
      <c r="I49" t="s">
        <v>27</v>
      </c>
      <c r="J49" t="s">
        <v>27</v>
      </c>
      <c r="K49" t="s">
        <v>27</v>
      </c>
      <c r="L49" t="s">
        <v>22</v>
      </c>
      <c r="M49" t="s">
        <v>27</v>
      </c>
      <c r="N49">
        <v>9791</v>
      </c>
      <c r="O49">
        <v>9610</v>
      </c>
      <c r="P49">
        <v>7534</v>
      </c>
      <c r="Q49">
        <v>5080</v>
      </c>
      <c r="R49">
        <v>4936</v>
      </c>
      <c r="S49">
        <f>SUM(Table1[[#This Row],[2017]:[2021]])</f>
        <v>36951</v>
      </c>
      <c r="T49" s="4">
        <f t="shared" si="1"/>
        <v>-0.15736979056747447</v>
      </c>
    </row>
    <row r="50" spans="1:20" x14ac:dyDescent="0.25">
      <c r="A50" t="s">
        <v>137</v>
      </c>
      <c r="B50" t="s">
        <v>138</v>
      </c>
      <c r="C50" t="s">
        <v>305</v>
      </c>
      <c r="D50" t="s">
        <v>139</v>
      </c>
      <c r="E50" t="s">
        <v>140</v>
      </c>
      <c r="F50" t="s">
        <v>84</v>
      </c>
      <c r="G50" t="s">
        <v>22</v>
      </c>
      <c r="H50" t="s">
        <v>22</v>
      </c>
      <c r="I50" t="s">
        <v>27</v>
      </c>
      <c r="J50" t="s">
        <v>27</v>
      </c>
      <c r="K50" t="s">
        <v>27</v>
      </c>
      <c r="L50" t="s">
        <v>27</v>
      </c>
      <c r="M50" t="s">
        <v>27</v>
      </c>
      <c r="N50">
        <v>2390</v>
      </c>
      <c r="O50">
        <v>2415</v>
      </c>
      <c r="P50">
        <v>3461</v>
      </c>
      <c r="Q50">
        <v>3850</v>
      </c>
      <c r="R50">
        <v>4657</v>
      </c>
      <c r="S50">
        <f>SUM(Table1[[#This Row],[2017]:[2021]])</f>
        <v>16773</v>
      </c>
      <c r="T50" s="4">
        <f t="shared" si="1"/>
        <v>0.18148193130433588</v>
      </c>
    </row>
    <row r="51" spans="1:20" x14ac:dyDescent="0.25">
      <c r="A51" t="s">
        <v>190</v>
      </c>
      <c r="B51" t="s">
        <v>191</v>
      </c>
      <c r="C51" t="s">
        <v>305</v>
      </c>
      <c r="D51" t="s">
        <v>192</v>
      </c>
      <c r="E51" t="s">
        <v>193</v>
      </c>
      <c r="F51" t="s">
        <v>145</v>
      </c>
      <c r="G51" t="s">
        <v>22</v>
      </c>
      <c r="H51" t="s">
        <v>22</v>
      </c>
      <c r="I51" t="s">
        <v>27</v>
      </c>
      <c r="J51" t="s">
        <v>27</v>
      </c>
      <c r="K51" t="s">
        <v>27</v>
      </c>
      <c r="L51" t="s">
        <v>27</v>
      </c>
      <c r="M51" t="s">
        <v>27</v>
      </c>
      <c r="N51">
        <v>8891</v>
      </c>
      <c r="O51">
        <v>5952</v>
      </c>
      <c r="P51">
        <v>5914</v>
      </c>
      <c r="Q51">
        <v>5405</v>
      </c>
      <c r="R51">
        <v>4031</v>
      </c>
      <c r="S51">
        <f>SUM(Table1[[#This Row],[2017]:[2021]])</f>
        <v>30193</v>
      </c>
      <c r="T51" s="4">
        <f t="shared" si="1"/>
        <v>-0.17943016656995925</v>
      </c>
    </row>
    <row r="52" spans="1:20" x14ac:dyDescent="0.25">
      <c r="A52" t="s">
        <v>129</v>
      </c>
      <c r="B52" t="s">
        <v>130</v>
      </c>
      <c r="C52" t="s">
        <v>305</v>
      </c>
      <c r="D52" t="s">
        <v>131</v>
      </c>
      <c r="E52" t="s">
        <v>132</v>
      </c>
      <c r="F52" t="s">
        <v>84</v>
      </c>
      <c r="G52" t="s">
        <v>22</v>
      </c>
      <c r="H52" t="s">
        <v>22</v>
      </c>
      <c r="I52" t="s">
        <v>27</v>
      </c>
      <c r="J52" t="s">
        <v>27</v>
      </c>
      <c r="K52" t="s">
        <v>27</v>
      </c>
      <c r="L52" t="s">
        <v>27</v>
      </c>
      <c r="M52" t="s">
        <v>27</v>
      </c>
      <c r="N52">
        <v>6309</v>
      </c>
      <c r="O52">
        <v>6227</v>
      </c>
      <c r="P52">
        <v>5123</v>
      </c>
      <c r="Q52">
        <v>4968</v>
      </c>
      <c r="R52">
        <v>3857</v>
      </c>
      <c r="S52">
        <f>SUM(Table1[[#This Row],[2017]:[2021]])</f>
        <v>26484</v>
      </c>
      <c r="T52" s="4">
        <f t="shared" si="1"/>
        <v>-0.11575568185753915</v>
      </c>
    </row>
    <row r="53" spans="1:20" x14ac:dyDescent="0.25">
      <c r="A53" t="s">
        <v>93</v>
      </c>
      <c r="B53" t="s">
        <v>94</v>
      </c>
      <c r="C53" t="s">
        <v>305</v>
      </c>
      <c r="D53" t="s">
        <v>95</v>
      </c>
      <c r="E53" t="s">
        <v>96</v>
      </c>
      <c r="F53" t="s">
        <v>84</v>
      </c>
      <c r="G53" t="s">
        <v>22</v>
      </c>
      <c r="H53" t="s">
        <v>22</v>
      </c>
      <c r="I53" t="s">
        <v>27</v>
      </c>
      <c r="J53" t="s">
        <v>27</v>
      </c>
      <c r="K53" t="s">
        <v>27</v>
      </c>
      <c r="L53" t="s">
        <v>27</v>
      </c>
      <c r="M53" t="s">
        <v>27</v>
      </c>
      <c r="N53">
        <v>9773</v>
      </c>
      <c r="O53">
        <v>9179</v>
      </c>
      <c r="P53">
        <v>8390</v>
      </c>
      <c r="Q53">
        <v>8256</v>
      </c>
      <c r="R53">
        <v>3815</v>
      </c>
      <c r="S53">
        <f>SUM(Table1[[#This Row],[2017]:[2021]])</f>
        <v>39413</v>
      </c>
      <c r="T53" s="4">
        <f t="shared" si="1"/>
        <v>-0.20956409258224717</v>
      </c>
    </row>
    <row r="54" spans="1:20" x14ac:dyDescent="0.25">
      <c r="A54" t="s">
        <v>247</v>
      </c>
      <c r="B54" t="s">
        <v>248</v>
      </c>
      <c r="C54" t="s">
        <v>305</v>
      </c>
      <c r="D54" t="s">
        <v>249</v>
      </c>
      <c r="E54" t="s">
        <v>250</v>
      </c>
      <c r="F54" t="s">
        <v>206</v>
      </c>
      <c r="G54" t="s">
        <v>22</v>
      </c>
      <c r="H54" t="s">
        <v>27</v>
      </c>
      <c r="I54" t="s">
        <v>27</v>
      </c>
      <c r="J54" t="s">
        <v>27</v>
      </c>
      <c r="K54" t="s">
        <v>27</v>
      </c>
      <c r="L54" t="s">
        <v>27</v>
      </c>
      <c r="M54" t="s">
        <v>27</v>
      </c>
      <c r="N54">
        <v>8034</v>
      </c>
      <c r="O54">
        <v>6541</v>
      </c>
      <c r="P54">
        <v>3311</v>
      </c>
      <c r="Q54">
        <v>3254</v>
      </c>
      <c r="R54">
        <v>2687</v>
      </c>
      <c r="S54">
        <f>SUM(Table1[[#This Row],[2017]:[2021]])</f>
        <v>23827</v>
      </c>
      <c r="T54" s="4">
        <f t="shared" si="1"/>
        <v>-0.23952671916055424</v>
      </c>
    </row>
    <row r="55" spans="1:20" x14ac:dyDescent="0.25">
      <c r="A55" t="s">
        <v>52</v>
      </c>
      <c r="B55" t="s">
        <v>53</v>
      </c>
      <c r="C55" t="s">
        <v>305</v>
      </c>
      <c r="D55" t="s">
        <v>54</v>
      </c>
      <c r="E55" t="s">
        <v>55</v>
      </c>
      <c r="F55" t="s">
        <v>21</v>
      </c>
      <c r="G55" t="s">
        <v>22</v>
      </c>
      <c r="H55" t="s">
        <v>27</v>
      </c>
      <c r="I55" t="s">
        <v>27</v>
      </c>
      <c r="J55" t="s">
        <v>27</v>
      </c>
      <c r="K55" t="s">
        <v>27</v>
      </c>
      <c r="L55" t="s">
        <v>22</v>
      </c>
      <c r="M55" t="s">
        <v>27</v>
      </c>
      <c r="N55">
        <v>9766</v>
      </c>
      <c r="O55">
        <v>8049</v>
      </c>
      <c r="P55">
        <v>5556</v>
      </c>
      <c r="Q55">
        <v>5202</v>
      </c>
      <c r="R55">
        <v>2373</v>
      </c>
      <c r="S55">
        <f>SUM(Table1[[#This Row],[2017]:[2021]])</f>
        <v>30946</v>
      </c>
      <c r="T55" s="4">
        <f t="shared" si="1"/>
        <v>-0.29790601141591733</v>
      </c>
    </row>
    <row r="56" spans="1:20" x14ac:dyDescent="0.25">
      <c r="A56" t="s">
        <v>60</v>
      </c>
      <c r="B56" t="s">
        <v>61</v>
      </c>
      <c r="C56" t="s">
        <v>305</v>
      </c>
      <c r="D56" t="s">
        <v>62</v>
      </c>
      <c r="E56" t="s">
        <v>63</v>
      </c>
      <c r="F56" t="s">
        <v>21</v>
      </c>
      <c r="G56" t="s">
        <v>22</v>
      </c>
      <c r="H56" t="s">
        <v>27</v>
      </c>
      <c r="I56" t="s">
        <v>27</v>
      </c>
      <c r="J56" t="s">
        <v>27</v>
      </c>
      <c r="K56" t="s">
        <v>27</v>
      </c>
      <c r="L56" t="s">
        <v>27</v>
      </c>
      <c r="M56" t="s">
        <v>27</v>
      </c>
      <c r="N56">
        <v>7555</v>
      </c>
      <c r="O56">
        <v>6551</v>
      </c>
      <c r="P56">
        <v>5188</v>
      </c>
      <c r="Q56">
        <v>3436</v>
      </c>
      <c r="R56">
        <v>2359</v>
      </c>
      <c r="S56">
        <f>SUM(Table1[[#This Row],[2017]:[2021]])</f>
        <v>25089</v>
      </c>
      <c r="T56" s="4">
        <f t="shared" si="1"/>
        <v>-0.25247905109930902</v>
      </c>
    </row>
    <row r="57" spans="1:20" x14ac:dyDescent="0.25">
      <c r="A57" t="s">
        <v>215</v>
      </c>
      <c r="B57" t="s">
        <v>216</v>
      </c>
      <c r="C57" t="s">
        <v>305</v>
      </c>
      <c r="D57" t="s">
        <v>217</v>
      </c>
      <c r="E57" t="s">
        <v>218</v>
      </c>
      <c r="F57" t="s">
        <v>206</v>
      </c>
      <c r="G57" t="s">
        <v>22</v>
      </c>
      <c r="H57" t="s">
        <v>27</v>
      </c>
      <c r="I57" t="s">
        <v>27</v>
      </c>
      <c r="J57" t="s">
        <v>27</v>
      </c>
      <c r="K57" t="s">
        <v>27</v>
      </c>
      <c r="L57" t="s">
        <v>22</v>
      </c>
      <c r="M57" t="s">
        <v>27</v>
      </c>
      <c r="N57">
        <v>8466</v>
      </c>
      <c r="O57">
        <v>4079</v>
      </c>
      <c r="P57">
        <v>2797</v>
      </c>
      <c r="Q57">
        <v>2245</v>
      </c>
      <c r="R57">
        <v>1696</v>
      </c>
      <c r="S57">
        <f>SUM(Table1[[#This Row],[2017]:[2021]])</f>
        <v>19283</v>
      </c>
      <c r="T57" s="4">
        <f t="shared" si="1"/>
        <v>-0.33098339677163802</v>
      </c>
    </row>
    <row r="58" spans="1:20" x14ac:dyDescent="0.25">
      <c r="A58" t="s">
        <v>170</v>
      </c>
      <c r="B58" t="s">
        <v>171</v>
      </c>
      <c r="C58" t="s">
        <v>305</v>
      </c>
      <c r="D58" t="s">
        <v>172</v>
      </c>
      <c r="E58" t="s">
        <v>173</v>
      </c>
      <c r="F58" t="s">
        <v>145</v>
      </c>
      <c r="G58" t="s">
        <v>22</v>
      </c>
      <c r="H58" t="s">
        <v>27</v>
      </c>
      <c r="I58" t="s">
        <v>27</v>
      </c>
      <c r="J58" t="s">
        <v>27</v>
      </c>
      <c r="K58" t="s">
        <v>27</v>
      </c>
      <c r="L58" t="s">
        <v>22</v>
      </c>
      <c r="M58" t="s">
        <v>22</v>
      </c>
      <c r="N58">
        <v>7703</v>
      </c>
      <c r="O58">
        <v>6957</v>
      </c>
      <c r="P58">
        <v>3898</v>
      </c>
      <c r="Q58">
        <v>1857</v>
      </c>
      <c r="R58">
        <v>1512</v>
      </c>
      <c r="S58">
        <f>SUM(Table1[[#This Row],[2017]:[2021]])</f>
        <v>21927</v>
      </c>
      <c r="T58" s="4">
        <f t="shared" si="1"/>
        <v>-0.33438519484677687</v>
      </c>
    </row>
    <row r="59" spans="1:20" x14ac:dyDescent="0.25">
      <c r="A59" t="s">
        <v>121</v>
      </c>
      <c r="B59" t="s">
        <v>122</v>
      </c>
      <c r="C59" t="s">
        <v>305</v>
      </c>
      <c r="D59" t="s">
        <v>123</v>
      </c>
      <c r="E59" t="s">
        <v>124</v>
      </c>
      <c r="F59" t="s">
        <v>84</v>
      </c>
      <c r="G59" t="s">
        <v>22</v>
      </c>
      <c r="H59" t="s">
        <v>27</v>
      </c>
      <c r="I59" t="s">
        <v>27</v>
      </c>
      <c r="J59" t="s">
        <v>27</v>
      </c>
      <c r="K59" t="s">
        <v>22</v>
      </c>
      <c r="L59" t="s">
        <v>27</v>
      </c>
      <c r="M59" t="s">
        <v>27</v>
      </c>
      <c r="N59">
        <v>6156</v>
      </c>
      <c r="O59">
        <v>6110</v>
      </c>
      <c r="P59">
        <v>5791</v>
      </c>
      <c r="Q59">
        <v>1759</v>
      </c>
      <c r="R59">
        <v>969</v>
      </c>
      <c r="S59">
        <f>SUM(Table1[[#This Row],[2017]:[2021]])</f>
        <v>20785</v>
      </c>
      <c r="T59" s="4">
        <f t="shared" si="1"/>
        <v>-0.37012221518144006</v>
      </c>
    </row>
    <row r="60" spans="1:20" x14ac:dyDescent="0.25">
      <c r="A60" t="s">
        <v>182</v>
      </c>
      <c r="B60" t="s">
        <v>183</v>
      </c>
      <c r="C60" t="s">
        <v>305</v>
      </c>
      <c r="D60" t="s">
        <v>184</v>
      </c>
      <c r="E60" t="s">
        <v>185</v>
      </c>
      <c r="F60" t="s">
        <v>145</v>
      </c>
      <c r="G60" t="s">
        <v>22</v>
      </c>
      <c r="H60" t="s">
        <v>27</v>
      </c>
      <c r="I60" t="s">
        <v>27</v>
      </c>
      <c r="J60" t="s">
        <v>27</v>
      </c>
      <c r="K60" t="s">
        <v>27</v>
      </c>
      <c r="L60" t="s">
        <v>22</v>
      </c>
      <c r="M60" t="s">
        <v>22</v>
      </c>
      <c r="N60">
        <v>7840</v>
      </c>
      <c r="O60">
        <v>5804</v>
      </c>
      <c r="P60">
        <v>4259</v>
      </c>
      <c r="Q60">
        <v>4243</v>
      </c>
      <c r="R60">
        <v>907</v>
      </c>
      <c r="S60">
        <f>SUM(Table1[[#This Row],[2017]:[2021]])</f>
        <v>23053</v>
      </c>
      <c r="T60" s="4">
        <f t="shared" si="1"/>
        <v>-0.41679289513417705</v>
      </c>
    </row>
    <row r="61" spans="1:20" x14ac:dyDescent="0.25">
      <c r="A61" t="s">
        <v>109</v>
      </c>
      <c r="B61" t="s">
        <v>110</v>
      </c>
      <c r="C61" t="s">
        <v>305</v>
      </c>
      <c r="D61" t="s">
        <v>111</v>
      </c>
      <c r="E61" t="s">
        <v>112</v>
      </c>
      <c r="F61" t="s">
        <v>84</v>
      </c>
      <c r="G61" t="s">
        <v>22</v>
      </c>
      <c r="H61" t="s">
        <v>27</v>
      </c>
      <c r="I61" t="s">
        <v>27</v>
      </c>
      <c r="J61" t="s">
        <v>27</v>
      </c>
      <c r="K61" t="s">
        <v>22</v>
      </c>
      <c r="L61" t="s">
        <v>27</v>
      </c>
      <c r="M61" t="s">
        <v>27</v>
      </c>
      <c r="N61">
        <v>8331</v>
      </c>
      <c r="O61">
        <v>7667</v>
      </c>
      <c r="P61">
        <v>5952</v>
      </c>
      <c r="Q61">
        <v>1998</v>
      </c>
      <c r="R61">
        <v>375</v>
      </c>
      <c r="S61">
        <f>SUM(Table1[[#This Row],[2017]:[2021]])</f>
        <v>24323</v>
      </c>
      <c r="T61" s="4">
        <f t="shared" si="1"/>
        <v>-0.53938981874158332</v>
      </c>
    </row>
    <row r="62" spans="1:20" x14ac:dyDescent="0.25">
      <c r="A62" t="s">
        <v>76</v>
      </c>
      <c r="B62" t="s">
        <v>77</v>
      </c>
      <c r="C62" t="s">
        <v>305</v>
      </c>
      <c r="D62" t="s">
        <v>78</v>
      </c>
      <c r="E62" t="s">
        <v>79</v>
      </c>
      <c r="F62" t="s">
        <v>21</v>
      </c>
      <c r="G62" t="s">
        <v>22</v>
      </c>
      <c r="H62" t="s">
        <v>22</v>
      </c>
      <c r="I62" t="s">
        <v>27</v>
      </c>
      <c r="J62" t="s">
        <v>27</v>
      </c>
      <c r="K62" t="s">
        <v>27</v>
      </c>
      <c r="L62" t="s">
        <v>27</v>
      </c>
      <c r="M62" t="s">
        <v>27</v>
      </c>
      <c r="N62">
        <v>9058</v>
      </c>
      <c r="O62">
        <v>4839</v>
      </c>
      <c r="P62">
        <v>4776</v>
      </c>
      <c r="Q62">
        <v>4024</v>
      </c>
      <c r="R62">
        <v>369</v>
      </c>
      <c r="S62">
        <f>SUM(Table1[[#This Row],[2017]:[2021]])</f>
        <v>23066</v>
      </c>
      <c r="T62" s="4">
        <f t="shared" si="1"/>
        <v>-0.55073921414194782</v>
      </c>
    </row>
    <row r="63" spans="1:20" x14ac:dyDescent="0.25">
      <c r="A63" t="s">
        <v>44</v>
      </c>
      <c r="B63" t="s">
        <v>45</v>
      </c>
      <c r="C63" t="s">
        <v>305</v>
      </c>
      <c r="D63" t="s">
        <v>46</v>
      </c>
      <c r="E63" t="s">
        <v>47</v>
      </c>
      <c r="F63" t="s">
        <v>21</v>
      </c>
      <c r="G63" t="s">
        <v>22</v>
      </c>
      <c r="H63" t="s">
        <v>27</v>
      </c>
      <c r="I63" t="s">
        <v>27</v>
      </c>
      <c r="J63" t="s">
        <v>27</v>
      </c>
      <c r="K63" t="s">
        <v>27</v>
      </c>
      <c r="L63" t="s">
        <v>22</v>
      </c>
      <c r="M63" t="s">
        <v>27</v>
      </c>
      <c r="N63">
        <v>9252</v>
      </c>
      <c r="O63">
        <v>8499</v>
      </c>
      <c r="P63">
        <v>991</v>
      </c>
      <c r="Q63">
        <v>448</v>
      </c>
      <c r="R63">
        <v>211</v>
      </c>
      <c r="S63">
        <f>SUM(Table1[[#This Row],[2017]:[2021]])</f>
        <v>19401</v>
      </c>
      <c r="T63" s="4">
        <f t="shared" si="1"/>
        <v>-0.61139202601329412</v>
      </c>
    </row>
    <row r="64" spans="1:20" x14ac:dyDescent="0.25">
      <c r="A64" t="s">
        <v>202</v>
      </c>
      <c r="B64" t="s">
        <v>203</v>
      </c>
      <c r="C64" t="s">
        <v>305</v>
      </c>
      <c r="D64" t="s">
        <v>204</v>
      </c>
      <c r="E64" t="s">
        <v>205</v>
      </c>
      <c r="F64" t="s">
        <v>206</v>
      </c>
      <c r="G64" t="s">
        <v>22</v>
      </c>
      <c r="H64" t="s">
        <v>27</v>
      </c>
      <c r="I64" t="s">
        <v>27</v>
      </c>
      <c r="J64" t="s">
        <v>27</v>
      </c>
      <c r="K64" t="s">
        <v>27</v>
      </c>
      <c r="L64" t="s">
        <v>22</v>
      </c>
      <c r="M64" t="s">
        <v>27</v>
      </c>
      <c r="N64">
        <v>8156</v>
      </c>
      <c r="O64">
        <v>1245</v>
      </c>
      <c r="P64">
        <v>791</v>
      </c>
      <c r="Q64">
        <v>338</v>
      </c>
      <c r="R64">
        <v>44</v>
      </c>
      <c r="S64">
        <f>SUM(Table1[[#This Row],[2017]:[2021]])</f>
        <v>10574</v>
      </c>
      <c r="T64" s="4">
        <f t="shared" si="1"/>
        <v>-0.72898466539472961</v>
      </c>
    </row>
    <row r="65" spans="1:20" x14ac:dyDescent="0.25">
      <c r="T65" s="4"/>
    </row>
    <row r="67" spans="1:20" x14ac:dyDescent="0.25">
      <c r="A67" s="37" t="s">
        <v>287</v>
      </c>
      <c r="B67" s="38" t="s">
        <v>307</v>
      </c>
    </row>
    <row r="68" spans="1:20" x14ac:dyDescent="0.25">
      <c r="A68" s="39">
        <v>2017</v>
      </c>
      <c r="B68" s="40">
        <f>SUM(Table1[2017])</f>
        <v>189976</v>
      </c>
    </row>
    <row r="69" spans="1:20" x14ac:dyDescent="0.25">
      <c r="A69" s="39">
        <v>2018</v>
      </c>
      <c r="B69" s="40">
        <f>SUM(Table1[2018])</f>
        <v>242995</v>
      </c>
    </row>
    <row r="70" spans="1:20" x14ac:dyDescent="0.25">
      <c r="A70" s="39">
        <v>2019</v>
      </c>
      <c r="B70" s="40">
        <f>SUM(Table1[2019])</f>
        <v>288449</v>
      </c>
    </row>
    <row r="71" spans="1:20" x14ac:dyDescent="0.25">
      <c r="A71" s="39">
        <v>2020</v>
      </c>
      <c r="B71" s="40">
        <f>SUM(Table1[2020])</f>
        <v>350234</v>
      </c>
    </row>
    <row r="72" spans="1:20" x14ac:dyDescent="0.25">
      <c r="A72" s="41">
        <v>2021</v>
      </c>
      <c r="B72" s="42">
        <f>SUM(Table1[2021])</f>
        <v>409194</v>
      </c>
    </row>
  </sheetData>
  <sortState columnSort="1" ref="N64:R64">
    <sortCondition ref="N64:R64"/>
  </sortState>
  <mergeCells count="3">
    <mergeCell ref="J3:M3"/>
    <mergeCell ref="N3:R3"/>
    <mergeCell ref="G3:I3"/>
  </mergeCells>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300A-CF3C-4E20-83E3-53774338327E}">
  <dimension ref="A3:AF128"/>
  <sheetViews>
    <sheetView zoomScale="85" zoomScaleNormal="85" workbookViewId="0">
      <selection activeCell="R49" sqref="R49"/>
    </sheetView>
  </sheetViews>
  <sheetFormatPr defaultRowHeight="15" x14ac:dyDescent="0.25"/>
  <cols>
    <col min="1" max="1" width="13.140625" bestFit="1" customWidth="1"/>
    <col min="2" max="2" width="17.28515625" bestFit="1" customWidth="1"/>
    <col min="3" max="3" width="20.85546875" bestFit="1" customWidth="1"/>
    <col min="4" max="4" width="14.140625" bestFit="1" customWidth="1"/>
    <col min="5" max="5" width="14.5703125" bestFit="1" customWidth="1"/>
    <col min="6" max="6" width="16.85546875" bestFit="1" customWidth="1"/>
    <col min="7" max="8" width="11.28515625" bestFit="1" customWidth="1"/>
    <col min="9" max="9" width="6" bestFit="1" customWidth="1"/>
    <col min="10" max="10" width="4.140625" bestFit="1" customWidth="1"/>
    <col min="11" max="11" width="8.42578125" bestFit="1" customWidth="1"/>
    <col min="12" max="12" width="6" bestFit="1" customWidth="1"/>
    <col min="13" max="13" width="4.140625" bestFit="1" customWidth="1"/>
    <col min="14" max="15" width="9" bestFit="1" customWidth="1"/>
    <col min="16" max="16" width="11.28515625" bestFit="1" customWidth="1"/>
    <col min="17" max="17" width="9" bestFit="1" customWidth="1"/>
    <col min="18" max="18" width="8.42578125" bestFit="1" customWidth="1"/>
    <col min="19" max="19" width="6" bestFit="1" customWidth="1"/>
    <col min="20" max="20" width="4.140625" bestFit="1" customWidth="1"/>
    <col min="21" max="21" width="8.42578125" bestFit="1" customWidth="1"/>
    <col min="22" max="22" width="6" bestFit="1" customWidth="1"/>
    <col min="23" max="23" width="4.140625" bestFit="1" customWidth="1"/>
    <col min="24" max="26" width="9" bestFit="1" customWidth="1"/>
    <col min="27" max="27" width="11.28515625" bestFit="1" customWidth="1"/>
    <col min="28" max="32" width="5" bestFit="1" customWidth="1"/>
    <col min="33" max="38" width="5.5703125" bestFit="1" customWidth="1"/>
    <col min="39" max="46" width="5" bestFit="1" customWidth="1"/>
    <col min="47" max="47" width="5.7109375" bestFit="1" customWidth="1"/>
    <col min="48" max="53" width="6.7109375" bestFit="1" customWidth="1"/>
    <col min="54" max="61" width="5.7109375" bestFit="1" customWidth="1"/>
    <col min="62" max="62" width="7.28515625" bestFit="1" customWidth="1"/>
    <col min="63" max="63" width="11.28515625" bestFit="1" customWidth="1"/>
    <col min="64" max="305" width="16.28515625" bestFit="1" customWidth="1"/>
    <col min="306" max="310" width="16.5703125" bestFit="1" customWidth="1"/>
  </cols>
  <sheetData>
    <row r="3" spans="1:6" x14ac:dyDescent="0.25">
      <c r="A3" t="s">
        <v>272</v>
      </c>
      <c r="B3" t="s">
        <v>263</v>
      </c>
      <c r="C3" t="s">
        <v>264</v>
      </c>
      <c r="D3" t="s">
        <v>265</v>
      </c>
      <c r="E3" t="s">
        <v>266</v>
      </c>
      <c r="F3" t="s">
        <v>267</v>
      </c>
    </row>
    <row r="4" spans="1:6" x14ac:dyDescent="0.25">
      <c r="A4" s="7">
        <v>60</v>
      </c>
      <c r="B4" s="7">
        <v>189976</v>
      </c>
      <c r="C4" s="7">
        <v>242995</v>
      </c>
      <c r="D4" s="7">
        <v>288449</v>
      </c>
      <c r="E4" s="7">
        <v>350234</v>
      </c>
      <c r="F4" s="7">
        <v>409194</v>
      </c>
    </row>
    <row r="5" spans="1:6" x14ac:dyDescent="0.25">
      <c r="A5" s="13">
        <f>GETPIVOTDATA("Count of Account Name",$A$3)</f>
        <v>60</v>
      </c>
      <c r="E5" s="10" t="s">
        <v>270</v>
      </c>
      <c r="F5" s="14">
        <f>SUM(B4:F4)</f>
        <v>1480848</v>
      </c>
    </row>
    <row r="9" spans="1:6" x14ac:dyDescent="0.25">
      <c r="A9" t="s">
        <v>271</v>
      </c>
      <c r="D9" s="17" t="s">
        <v>284</v>
      </c>
      <c r="E9" s="17">
        <v>4</v>
      </c>
    </row>
    <row r="10" spans="1:6" x14ac:dyDescent="0.25">
      <c r="A10" s="11">
        <v>0.51767655727240758</v>
      </c>
      <c r="B10" s="12">
        <f>GETPIVOTDATA("5 YR CAGR",$A$9)</f>
        <v>0.51767655727240758</v>
      </c>
    </row>
    <row r="12" spans="1:6" x14ac:dyDescent="0.25">
      <c r="A12" s="15" t="s">
        <v>283</v>
      </c>
    </row>
    <row r="13" spans="1:6" x14ac:dyDescent="0.25">
      <c r="A13" s="7" t="s">
        <v>278</v>
      </c>
      <c r="B13" s="7" t="s">
        <v>279</v>
      </c>
      <c r="C13" s="7" t="s">
        <v>282</v>
      </c>
      <c r="D13" s="7" t="s">
        <v>281</v>
      </c>
      <c r="E13" s="7" t="s">
        <v>280</v>
      </c>
    </row>
    <row r="14" spans="1:6" x14ac:dyDescent="0.25">
      <c r="A14" s="7">
        <v>9983</v>
      </c>
      <c r="B14" s="7">
        <v>9024</v>
      </c>
      <c r="C14" s="7">
        <v>8390</v>
      </c>
      <c r="D14" s="7">
        <v>9610</v>
      </c>
      <c r="E14" s="7">
        <v>9791</v>
      </c>
    </row>
    <row r="15" spans="1:6" x14ac:dyDescent="0.25">
      <c r="A15" s="16">
        <f>GETPIVOTDATA("Max of 2021",$A$13)</f>
        <v>9983</v>
      </c>
    </row>
    <row r="17" spans="1:32" x14ac:dyDescent="0.25">
      <c r="B17" s="8" t="s">
        <v>285</v>
      </c>
    </row>
    <row r="18" spans="1:32" x14ac:dyDescent="0.25">
      <c r="A18" s="8" t="s">
        <v>286</v>
      </c>
      <c r="B18" t="s">
        <v>306</v>
      </c>
      <c r="C18" t="s">
        <v>206</v>
      </c>
      <c r="D18" t="s">
        <v>21</v>
      </c>
      <c r="E18" t="s">
        <v>145</v>
      </c>
      <c r="F18" t="s">
        <v>84</v>
      </c>
      <c r="G18" t="s">
        <v>269</v>
      </c>
    </row>
    <row r="19" spans="1:32" x14ac:dyDescent="0.25">
      <c r="A19" s="28" t="s">
        <v>298</v>
      </c>
      <c r="B19" s="7"/>
      <c r="C19" s="19">
        <v>44888</v>
      </c>
      <c r="D19" s="19">
        <v>51804</v>
      </c>
      <c r="E19" s="19">
        <v>47259</v>
      </c>
      <c r="F19" s="19">
        <v>46025</v>
      </c>
      <c r="G19" s="19">
        <v>189976</v>
      </c>
    </row>
    <row r="20" spans="1:32" x14ac:dyDescent="0.25">
      <c r="A20" s="9" t="s">
        <v>264</v>
      </c>
      <c r="B20" s="19"/>
      <c r="C20" s="19">
        <v>50567</v>
      </c>
      <c r="D20" s="19">
        <v>60121</v>
      </c>
      <c r="E20" s="19">
        <v>67275</v>
      </c>
      <c r="F20" s="19">
        <v>65032</v>
      </c>
      <c r="G20" s="19">
        <v>242995</v>
      </c>
    </row>
    <row r="21" spans="1:32" x14ac:dyDescent="0.25">
      <c r="A21" s="9" t="s">
        <v>265</v>
      </c>
      <c r="B21" s="19"/>
      <c r="C21" s="19">
        <v>70312</v>
      </c>
      <c r="D21" s="19">
        <v>60760</v>
      </c>
      <c r="E21" s="19">
        <v>79646</v>
      </c>
      <c r="F21" s="19">
        <v>77731</v>
      </c>
      <c r="G21" s="19">
        <v>288449</v>
      </c>
    </row>
    <row r="22" spans="1:32" x14ac:dyDescent="0.25">
      <c r="A22" s="9" t="s">
        <v>266</v>
      </c>
      <c r="B22" s="19"/>
      <c r="C22" s="19">
        <v>82583</v>
      </c>
      <c r="D22" s="19">
        <v>75991</v>
      </c>
      <c r="E22" s="19">
        <v>102065</v>
      </c>
      <c r="F22" s="19">
        <v>89595</v>
      </c>
      <c r="G22" s="19">
        <v>350234</v>
      </c>
    </row>
    <row r="23" spans="1:32" x14ac:dyDescent="0.25">
      <c r="A23" s="9" t="s">
        <v>267</v>
      </c>
      <c r="B23" s="19"/>
      <c r="C23" s="19">
        <v>100592</v>
      </c>
      <c r="D23" s="19">
        <v>94147</v>
      </c>
      <c r="E23" s="19">
        <v>112270</v>
      </c>
      <c r="F23" s="19">
        <v>102185</v>
      </c>
      <c r="G23" s="19">
        <v>409194</v>
      </c>
    </row>
    <row r="27" spans="1:32" x14ac:dyDescent="0.25">
      <c r="A27" s="17" t="s">
        <v>295</v>
      </c>
      <c r="G27" s="8"/>
      <c r="H27" s="8"/>
      <c r="I27" s="8"/>
      <c r="J27" s="8"/>
      <c r="K27" s="8"/>
      <c r="L27" s="8"/>
      <c r="M27" s="8"/>
      <c r="N27" s="8"/>
      <c r="O27" s="8"/>
      <c r="P27" s="8"/>
      <c r="Q27" s="8"/>
      <c r="R27" s="8"/>
      <c r="S27" s="8"/>
      <c r="T27" s="8"/>
      <c r="U27" s="8"/>
      <c r="V27" s="8"/>
      <c r="W27" s="8"/>
      <c r="X27" s="8"/>
      <c r="Y27" s="8"/>
      <c r="Z27" s="8"/>
      <c r="AA27" s="8"/>
      <c r="AB27" s="8"/>
      <c r="AC27" s="8"/>
      <c r="AD27" s="8"/>
      <c r="AE27" s="8"/>
      <c r="AF27" s="8"/>
    </row>
    <row r="28" spans="1:32" x14ac:dyDescent="0.25">
      <c r="B28" s="8" t="s">
        <v>285</v>
      </c>
    </row>
    <row r="29" spans="1:32" x14ac:dyDescent="0.25">
      <c r="A29" s="8" t="s">
        <v>286</v>
      </c>
      <c r="B29" t="s">
        <v>306</v>
      </c>
      <c r="C29" t="s">
        <v>206</v>
      </c>
      <c r="D29" t="s">
        <v>21</v>
      </c>
      <c r="E29" t="s">
        <v>145</v>
      </c>
      <c r="F29" t="s">
        <v>84</v>
      </c>
      <c r="G29" t="s">
        <v>269</v>
      </c>
    </row>
    <row r="30" spans="1:32" x14ac:dyDescent="0.25">
      <c r="A30" s="9" t="s">
        <v>299</v>
      </c>
      <c r="B30" s="7"/>
      <c r="C30" s="19">
        <v>44888</v>
      </c>
      <c r="D30" s="19">
        <v>51804</v>
      </c>
      <c r="E30" s="19">
        <v>47259</v>
      </c>
      <c r="F30" s="19">
        <v>46025</v>
      </c>
      <c r="G30" s="19">
        <v>189976</v>
      </c>
    </row>
    <row r="31" spans="1:32" x14ac:dyDescent="0.25">
      <c r="A31" s="9" t="s">
        <v>300</v>
      </c>
      <c r="B31" s="19"/>
      <c r="C31" s="19">
        <v>50567</v>
      </c>
      <c r="D31" s="19">
        <v>60121</v>
      </c>
      <c r="E31" s="19">
        <v>67275</v>
      </c>
      <c r="F31" s="19">
        <v>65032</v>
      </c>
      <c r="G31" s="19">
        <v>242995</v>
      </c>
    </row>
    <row r="32" spans="1:32" x14ac:dyDescent="0.25">
      <c r="A32" s="9" t="s">
        <v>301</v>
      </c>
      <c r="B32" s="19"/>
      <c r="C32" s="19">
        <v>70312</v>
      </c>
      <c r="D32" s="19">
        <v>60760</v>
      </c>
      <c r="E32" s="19">
        <v>79646</v>
      </c>
      <c r="F32" s="19">
        <v>77731</v>
      </c>
      <c r="G32" s="19">
        <v>288449</v>
      </c>
    </row>
    <row r="33" spans="1:7" x14ac:dyDescent="0.25">
      <c r="A33" s="9" t="s">
        <v>302</v>
      </c>
      <c r="B33" s="19"/>
      <c r="C33" s="19">
        <v>82583</v>
      </c>
      <c r="D33" s="19">
        <v>75991</v>
      </c>
      <c r="E33" s="19">
        <v>102065</v>
      </c>
      <c r="F33" s="19">
        <v>89595</v>
      </c>
      <c r="G33" s="19">
        <v>350234</v>
      </c>
    </row>
    <row r="34" spans="1:7" x14ac:dyDescent="0.25">
      <c r="A34" s="9" t="s">
        <v>303</v>
      </c>
      <c r="B34" s="19"/>
      <c r="C34" s="19">
        <v>100592</v>
      </c>
      <c r="D34" s="19">
        <v>94147</v>
      </c>
      <c r="E34" s="19">
        <v>112270</v>
      </c>
      <c r="F34" s="19">
        <v>102185</v>
      </c>
      <c r="G34" s="19">
        <v>409194</v>
      </c>
    </row>
    <row r="35" spans="1:7" x14ac:dyDescent="0.25">
      <c r="A35" s="20" t="s">
        <v>287</v>
      </c>
      <c r="B35" s="21" t="s">
        <v>288</v>
      </c>
    </row>
    <row r="36" spans="1:7" x14ac:dyDescent="0.25">
      <c r="A36">
        <v>2017</v>
      </c>
      <c r="B36" s="19">
        <f>GETPIVOTDATA("-2017",$A$28)</f>
        <v>189976</v>
      </c>
    </row>
    <row r="37" spans="1:7" x14ac:dyDescent="0.25">
      <c r="A37">
        <v>2018</v>
      </c>
      <c r="B37" s="19">
        <f>GETPIVOTDATA("-2018",$A$28)</f>
        <v>242995</v>
      </c>
    </row>
    <row r="38" spans="1:7" x14ac:dyDescent="0.25">
      <c r="A38">
        <v>2019</v>
      </c>
      <c r="B38" s="19">
        <f>GETPIVOTDATA("-2019",$A$28)</f>
        <v>288449</v>
      </c>
    </row>
    <row r="39" spans="1:7" x14ac:dyDescent="0.25">
      <c r="A39">
        <v>2020</v>
      </c>
      <c r="B39" s="19">
        <f>GETPIVOTDATA("-2020",$A$28)</f>
        <v>350234</v>
      </c>
    </row>
    <row r="40" spans="1:7" x14ac:dyDescent="0.25">
      <c r="A40">
        <v>2021</v>
      </c>
      <c r="B40" s="19">
        <f>GETPIVOTDATA("-2021",$A$28)</f>
        <v>409194</v>
      </c>
    </row>
    <row r="43" spans="1:7" x14ac:dyDescent="0.25">
      <c r="A43" s="24" t="s">
        <v>294</v>
      </c>
    </row>
    <row r="44" spans="1:7" x14ac:dyDescent="0.25">
      <c r="A44" s="8" t="s">
        <v>268</v>
      </c>
      <c r="B44" t="s">
        <v>289</v>
      </c>
    </row>
    <row r="45" spans="1:7" x14ac:dyDescent="0.25">
      <c r="A45" s="9" t="s">
        <v>306</v>
      </c>
      <c r="B45" s="18"/>
    </row>
    <row r="46" spans="1:7" x14ac:dyDescent="0.25">
      <c r="A46" s="9" t="s">
        <v>206</v>
      </c>
      <c r="B46" s="18">
        <v>15</v>
      </c>
    </row>
    <row r="47" spans="1:7" x14ac:dyDescent="0.25">
      <c r="A47" s="9" t="s">
        <v>21</v>
      </c>
      <c r="B47" s="18">
        <v>15</v>
      </c>
    </row>
    <row r="48" spans="1:7" x14ac:dyDescent="0.25">
      <c r="A48" s="9" t="s">
        <v>145</v>
      </c>
      <c r="B48" s="18">
        <v>15</v>
      </c>
    </row>
    <row r="49" spans="1:27" x14ac:dyDescent="0.25">
      <c r="A49" s="9" t="s">
        <v>84</v>
      </c>
      <c r="B49" s="18">
        <v>15</v>
      </c>
    </row>
    <row r="50" spans="1:27" x14ac:dyDescent="0.25">
      <c r="A50" s="9" t="s">
        <v>269</v>
      </c>
      <c r="B50" s="18">
        <v>60</v>
      </c>
    </row>
    <row r="58" spans="1:27" x14ac:dyDescent="0.25">
      <c r="A58" s="23" t="s">
        <v>293</v>
      </c>
    </row>
    <row r="59" spans="1:27" x14ac:dyDescent="0.25">
      <c r="A59" s="8" t="s">
        <v>268</v>
      </c>
      <c r="B59" t="s">
        <v>291</v>
      </c>
    </row>
    <row r="60" spans="1:27" x14ac:dyDescent="0.25">
      <c r="A60" s="9" t="s">
        <v>306</v>
      </c>
      <c r="B60" s="18"/>
      <c r="G60" s="8"/>
      <c r="H60" s="8"/>
      <c r="I60" s="8"/>
      <c r="J60" s="8"/>
      <c r="K60" s="8"/>
      <c r="L60" s="8"/>
      <c r="M60" s="8"/>
      <c r="N60" s="8"/>
      <c r="O60" s="8"/>
      <c r="P60" s="8"/>
      <c r="Q60" s="8"/>
      <c r="R60" s="8"/>
      <c r="S60" s="8"/>
      <c r="T60" s="8"/>
      <c r="U60" s="8"/>
      <c r="V60" s="8"/>
      <c r="W60" s="8"/>
      <c r="X60" s="8"/>
      <c r="Y60" s="8"/>
      <c r="Z60" s="8"/>
      <c r="AA60" s="8"/>
    </row>
    <row r="61" spans="1:27" x14ac:dyDescent="0.25">
      <c r="A61" s="9" t="s">
        <v>206</v>
      </c>
      <c r="B61" s="18">
        <v>348942</v>
      </c>
    </row>
    <row r="62" spans="1:27" x14ac:dyDescent="0.25">
      <c r="A62" s="9" t="s">
        <v>21</v>
      </c>
      <c r="B62" s="18">
        <v>342823</v>
      </c>
    </row>
    <row r="63" spans="1:27" x14ac:dyDescent="0.25">
      <c r="A63" s="9" t="s">
        <v>145</v>
      </c>
      <c r="B63" s="18">
        <v>408515</v>
      </c>
    </row>
    <row r="64" spans="1:27" x14ac:dyDescent="0.25">
      <c r="A64" s="9" t="s">
        <v>84</v>
      </c>
      <c r="B64" s="18">
        <v>380568</v>
      </c>
    </row>
    <row r="65" spans="1:2" x14ac:dyDescent="0.25">
      <c r="A65" s="9" t="s">
        <v>269</v>
      </c>
      <c r="B65" s="18">
        <v>1480848</v>
      </c>
    </row>
    <row r="66" spans="1:2" x14ac:dyDescent="0.25">
      <c r="A66" s="9" t="s">
        <v>206</v>
      </c>
      <c r="B66" s="19">
        <f>GETPIVOTDATA("Total sales",$A$59,"Account Type","Wholesale Distributor")</f>
        <v>348942</v>
      </c>
    </row>
    <row r="67" spans="1:2" x14ac:dyDescent="0.25">
      <c r="A67" s="9" t="s">
        <v>21</v>
      </c>
      <c r="B67" s="19">
        <f>GETPIVOTDATA("Total sales",$A$59,"Account Type","Small Business")</f>
        <v>342823</v>
      </c>
    </row>
    <row r="68" spans="1:2" x14ac:dyDescent="0.25">
      <c r="A68" s="9" t="s">
        <v>145</v>
      </c>
      <c r="B68" s="19">
        <f>GETPIVOTDATA("Total sales",$A$59,"Account Type","Online Retailer")</f>
        <v>408515</v>
      </c>
    </row>
    <row r="69" spans="1:2" x14ac:dyDescent="0.25">
      <c r="A69" s="9" t="s">
        <v>84</v>
      </c>
      <c r="B69" s="19">
        <f>GETPIVOTDATA("Total sales",$A$59,"Account Type","Medium Business")</f>
        <v>380568</v>
      </c>
    </row>
    <row r="70" spans="1:2" x14ac:dyDescent="0.25">
      <c r="B70" s="19"/>
    </row>
    <row r="81" spans="1:16" x14ac:dyDescent="0.25">
      <c r="A81" s="22" t="s">
        <v>292</v>
      </c>
    </row>
    <row r="82" spans="1:16" x14ac:dyDescent="0.25">
      <c r="A82" s="8" t="s">
        <v>268</v>
      </c>
      <c r="B82" t="s">
        <v>291</v>
      </c>
      <c r="G82" s="8"/>
      <c r="H82" s="8"/>
      <c r="I82" s="8"/>
      <c r="J82" s="8"/>
      <c r="K82" s="8"/>
      <c r="L82" s="8"/>
      <c r="M82" s="8"/>
      <c r="N82" s="8"/>
      <c r="O82" s="8"/>
      <c r="P82" s="8"/>
    </row>
    <row r="83" spans="1:16" x14ac:dyDescent="0.25">
      <c r="A83" s="9" t="s">
        <v>42</v>
      </c>
      <c r="B83" s="18">
        <v>32872</v>
      </c>
    </row>
    <row r="84" spans="1:16" x14ac:dyDescent="0.25">
      <c r="A84" s="9" t="s">
        <v>82</v>
      </c>
      <c r="B84" s="18">
        <v>34686</v>
      </c>
    </row>
    <row r="85" spans="1:16" x14ac:dyDescent="0.25">
      <c r="A85" s="9" t="s">
        <v>233</v>
      </c>
      <c r="B85" s="18">
        <v>36951</v>
      </c>
    </row>
    <row r="86" spans="1:16" x14ac:dyDescent="0.25">
      <c r="A86" s="9" t="s">
        <v>152</v>
      </c>
      <c r="B86" s="18">
        <v>39331</v>
      </c>
    </row>
    <row r="87" spans="1:16" x14ac:dyDescent="0.25">
      <c r="A87" s="9" t="s">
        <v>95</v>
      </c>
      <c r="B87" s="18">
        <v>39413</v>
      </c>
    </row>
    <row r="88" spans="1:16" x14ac:dyDescent="0.25">
      <c r="A88" s="9" t="s">
        <v>269</v>
      </c>
      <c r="B88" s="18">
        <v>183253</v>
      </c>
    </row>
    <row r="94" spans="1:16" x14ac:dyDescent="0.25">
      <c r="A94" s="22" t="s">
        <v>296</v>
      </c>
    </row>
    <row r="95" spans="1:16" x14ac:dyDescent="0.25">
      <c r="A95" s="8" t="s">
        <v>268</v>
      </c>
      <c r="B95" t="s">
        <v>291</v>
      </c>
      <c r="C95" s="8"/>
      <c r="D95" s="8"/>
      <c r="E95" s="8"/>
      <c r="F95" s="8"/>
      <c r="G95" s="8"/>
      <c r="H95" s="8"/>
      <c r="I95" s="8"/>
      <c r="J95" s="8"/>
      <c r="K95" s="8"/>
      <c r="L95" s="8"/>
      <c r="M95" s="8"/>
      <c r="N95" s="8"/>
      <c r="O95" s="8"/>
      <c r="P95" s="8"/>
    </row>
    <row r="96" spans="1:16" x14ac:dyDescent="0.25">
      <c r="A96" s="9" t="s">
        <v>80</v>
      </c>
      <c r="B96" s="18">
        <v>34686</v>
      </c>
    </row>
    <row r="97" spans="1:2" x14ac:dyDescent="0.25">
      <c r="A97" s="9" t="s">
        <v>93</v>
      </c>
      <c r="B97" s="18">
        <v>39413</v>
      </c>
    </row>
    <row r="98" spans="1:2" x14ac:dyDescent="0.25">
      <c r="A98" s="9" t="s">
        <v>198</v>
      </c>
      <c r="B98" s="18">
        <v>30450</v>
      </c>
    </row>
    <row r="99" spans="1:2" x14ac:dyDescent="0.25">
      <c r="A99" s="9" t="s">
        <v>150</v>
      </c>
      <c r="B99" s="18">
        <v>39331</v>
      </c>
    </row>
    <row r="100" spans="1:2" x14ac:dyDescent="0.25">
      <c r="A100" s="9" t="s">
        <v>154</v>
      </c>
      <c r="B100" s="18">
        <v>31127</v>
      </c>
    </row>
    <row r="101" spans="1:2" x14ac:dyDescent="0.25">
      <c r="A101" s="9" t="s">
        <v>17</v>
      </c>
      <c r="B101" s="18">
        <v>30734</v>
      </c>
    </row>
    <row r="102" spans="1:2" x14ac:dyDescent="0.25">
      <c r="A102" s="9" t="s">
        <v>40</v>
      </c>
      <c r="B102" s="18">
        <v>32872</v>
      </c>
    </row>
    <row r="103" spans="1:2" x14ac:dyDescent="0.25">
      <c r="A103" s="9" t="s">
        <v>48</v>
      </c>
      <c r="B103" s="18">
        <v>31745</v>
      </c>
    </row>
    <row r="104" spans="1:2" x14ac:dyDescent="0.25">
      <c r="A104" s="9" t="s">
        <v>52</v>
      </c>
      <c r="B104" s="18">
        <v>30946</v>
      </c>
    </row>
    <row r="105" spans="1:2" x14ac:dyDescent="0.25">
      <c r="A105" s="9" t="s">
        <v>231</v>
      </c>
      <c r="B105" s="18">
        <v>36951</v>
      </c>
    </row>
    <row r="106" spans="1:2" x14ac:dyDescent="0.25">
      <c r="A106" s="9" t="s">
        <v>269</v>
      </c>
      <c r="B106" s="18">
        <v>338255</v>
      </c>
    </row>
    <row r="108" spans="1:2" x14ac:dyDescent="0.25">
      <c r="A108" s="26" t="s">
        <v>297</v>
      </c>
      <c r="B108" s="27" t="s">
        <v>288</v>
      </c>
    </row>
    <row r="109" spans="1:2" x14ac:dyDescent="0.25">
      <c r="A109" s="25" t="s">
        <v>80</v>
      </c>
      <c r="B109" s="18">
        <f>GETPIVOTDATA("Total sales",A95,"Account Name","MB 1")</f>
        <v>34686</v>
      </c>
    </row>
    <row r="110" spans="1:2" x14ac:dyDescent="0.25">
      <c r="A110" s="25" t="s">
        <v>93</v>
      </c>
      <c r="B110" s="18">
        <f>GETPIVOTDATA("Total sales",A95,"Account Name","MB 4")</f>
        <v>39413</v>
      </c>
    </row>
    <row r="111" spans="1:2" x14ac:dyDescent="0.25">
      <c r="A111" s="25" t="s">
        <v>198</v>
      </c>
      <c r="B111" s="18">
        <f>GETPIVOTDATA("Total sales",$A$95,"Account Name","OR 15")</f>
        <v>30450</v>
      </c>
    </row>
    <row r="112" spans="1:2" x14ac:dyDescent="0.25">
      <c r="A112" s="25" t="s">
        <v>150</v>
      </c>
      <c r="B112" s="18">
        <f>GETPIVOTDATA("Total sales",$A$95,"Account Name","OR 3")</f>
        <v>39331</v>
      </c>
    </row>
    <row r="113" spans="1:2" x14ac:dyDescent="0.25">
      <c r="A113" s="25" t="s">
        <v>154</v>
      </c>
      <c r="B113" s="18">
        <f>GETPIVOTDATA("Total sales",$A$95,"Account Name","OR 4")</f>
        <v>31127</v>
      </c>
    </row>
    <row r="114" spans="1:2" x14ac:dyDescent="0.25">
      <c r="A114" s="25" t="s">
        <v>17</v>
      </c>
      <c r="B114" s="18">
        <f>GETPIVOTDATA("Total sales",$A$95,"Account Name","SB 1")</f>
        <v>30734</v>
      </c>
    </row>
    <row r="115" spans="1:2" x14ac:dyDescent="0.25">
      <c r="A115" s="25" t="s">
        <v>40</v>
      </c>
      <c r="B115" s="18">
        <f>GETPIVOTDATA("Total sales",$A$95,"Account Name","SB 6")</f>
        <v>32872</v>
      </c>
    </row>
    <row r="116" spans="1:2" x14ac:dyDescent="0.25">
      <c r="A116" s="25" t="s">
        <v>48</v>
      </c>
      <c r="B116" s="18">
        <f>GETPIVOTDATA("Total sales",$A$95,"Account Name","SB 8")</f>
        <v>31745</v>
      </c>
    </row>
    <row r="117" spans="1:2" x14ac:dyDescent="0.25">
      <c r="A117" s="25" t="s">
        <v>52</v>
      </c>
      <c r="B117" s="18">
        <f>GETPIVOTDATA("Total sales",$A$95,"Account Name","SB 9")</f>
        <v>30946</v>
      </c>
    </row>
    <row r="118" spans="1:2" x14ac:dyDescent="0.25">
      <c r="A118" s="25" t="s">
        <v>231</v>
      </c>
      <c r="B118" s="18">
        <f>GETPIVOTDATA("Total sales",$A$95,"Account Name","WD 8")</f>
        <v>36951</v>
      </c>
    </row>
    <row r="121" spans="1:2" x14ac:dyDescent="0.25">
      <c r="A121" s="8" t="s">
        <v>268</v>
      </c>
      <c r="B121" t="s">
        <v>308</v>
      </c>
    </row>
    <row r="122" spans="1:2" x14ac:dyDescent="0.25">
      <c r="A122" s="9">
        <v>2017</v>
      </c>
      <c r="B122" s="7">
        <v>189976</v>
      </c>
    </row>
    <row r="123" spans="1:2" x14ac:dyDescent="0.25">
      <c r="A123" s="9">
        <v>2018</v>
      </c>
      <c r="B123" s="7">
        <v>242995</v>
      </c>
    </row>
    <row r="124" spans="1:2" x14ac:dyDescent="0.25">
      <c r="A124" s="9">
        <v>2019</v>
      </c>
      <c r="B124" s="7">
        <v>288449</v>
      </c>
    </row>
    <row r="125" spans="1:2" x14ac:dyDescent="0.25">
      <c r="A125" s="9">
        <v>2020</v>
      </c>
      <c r="B125" s="7">
        <v>350234</v>
      </c>
    </row>
    <row r="126" spans="1:2" x14ac:dyDescent="0.25">
      <c r="A126" s="9">
        <v>2021</v>
      </c>
      <c r="B126" s="7">
        <v>409194</v>
      </c>
    </row>
    <row r="127" spans="1:2" x14ac:dyDescent="0.25">
      <c r="A127" s="9" t="s">
        <v>269</v>
      </c>
      <c r="B127" s="7">
        <v>1480848</v>
      </c>
    </row>
    <row r="128" spans="1:2" x14ac:dyDescent="0.25">
      <c r="A128" t="s">
        <v>309</v>
      </c>
      <c r="B128" s="18">
        <f>GETPIVOTDATA("Total Sales",$A$121)</f>
        <v>1480848</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CAB8E-4571-4375-9217-0746529B548B}">
  <dimension ref="G40:H43"/>
  <sheetViews>
    <sheetView showGridLines="0" zoomScaleNormal="100" workbookViewId="0">
      <selection activeCell="C40" sqref="C40"/>
    </sheetView>
  </sheetViews>
  <sheetFormatPr defaultRowHeight="15" x14ac:dyDescent="0.25"/>
  <cols>
    <col min="1" max="16384" width="9.140625" style="5"/>
  </cols>
  <sheetData>
    <row r="40" spans="7:8" x14ac:dyDescent="0.25">
      <c r="G40" s="29"/>
      <c r="H40" s="29"/>
    </row>
    <row r="41" spans="7:8" x14ac:dyDescent="0.25">
      <c r="G41" s="29"/>
      <c r="H41" s="29"/>
    </row>
    <row r="42" spans="7:8" x14ac:dyDescent="0.25">
      <c r="G42" s="29"/>
      <c r="H42" s="29"/>
    </row>
    <row r="43" spans="7:8" x14ac:dyDescent="0.25">
      <c r="G43" s="29"/>
      <c r="H43" s="2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vt:lpstr>
      <vt:lpstr>Analysis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pc</cp:lastModifiedBy>
  <cp:revision/>
  <cp:lastPrinted>2024-09-18T13:08:44Z</cp:lastPrinted>
  <dcterms:created xsi:type="dcterms:W3CDTF">2022-01-18T02:47:06Z</dcterms:created>
  <dcterms:modified xsi:type="dcterms:W3CDTF">2024-09-21T06:50:56Z</dcterms:modified>
  <cp:category/>
  <cp:contentStatus/>
</cp:coreProperties>
</file>