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14aadea923f82d/Desktop/"/>
    </mc:Choice>
  </mc:AlternateContent>
  <xr:revisionPtr revIDLastSave="23" documentId="8_{09C15C3F-6EAE-43F6-A5FB-9473C2DF498B}" xr6:coauthVersionLast="47" xr6:coauthVersionMax="47" xr10:uidLastSave="{5D1D4F50-CD2F-4DEE-A54E-6341AA348B88}"/>
  <bookViews>
    <workbookView xWindow="-108" yWindow="-108" windowWidth="23256" windowHeight="12456" tabRatio="966" activeTab="1" xr2:uid="{00000000-000D-0000-FFFF-FFFF00000000}"/>
  </bookViews>
  <sheets>
    <sheet name="Input --&gt;" sheetId="25" r:id="rId1"/>
    <sheet name="Balancesheet" sheetId="2" r:id="rId2"/>
    <sheet name="P&amp;L" sheetId="5" r:id="rId3"/>
    <sheet name="Cashflow" sheetId="9" r:id="rId4"/>
    <sheet name="Assumptions --&gt;" sheetId="26" r:id="rId5"/>
    <sheet name="Balancesheet Assumptions" sheetId="13" r:id="rId6"/>
    <sheet name="P&amp;L Assumptions" sheetId="11" r:id="rId7"/>
    <sheet name="Forecast--&gt;" sheetId="27" r:id="rId8"/>
    <sheet name="Balancesheet Output" sheetId="15" r:id="rId9"/>
    <sheet name="Cashflow Output" sheetId="18" r:id="rId10"/>
    <sheet name="P&amp;L Output" sheetId="16" r:id="rId11"/>
    <sheet name="Trend Analysis --&gt;" sheetId="28" r:id="rId12"/>
    <sheet name="Balancesheet Trend" sheetId="23" r:id="rId13"/>
    <sheet name="P&amp;L Trend" sheetId="24" r:id="rId14"/>
    <sheet name="Ratio Analysis" sheetId="10" r:id="rId15"/>
    <sheet name="WACC" sheetId="19" r:id="rId16"/>
    <sheet name="DCF Valuation" sheetId="21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9" l="1"/>
  <c r="D6" i="15"/>
  <c r="G18" i="10"/>
  <c r="H18" i="10"/>
  <c r="I18" i="10"/>
  <c r="J18" i="10"/>
  <c r="J21" i="10" s="1"/>
  <c r="K18" i="10"/>
  <c r="G19" i="10"/>
  <c r="H19" i="10"/>
  <c r="I19" i="10"/>
  <c r="I21" i="10" s="1"/>
  <c r="J19" i="10"/>
  <c r="K19" i="10"/>
  <c r="G20" i="10"/>
  <c r="H20" i="10"/>
  <c r="H21" i="10" s="1"/>
  <c r="I20" i="10"/>
  <c r="J20" i="10"/>
  <c r="K20" i="10"/>
  <c r="G21" i="10"/>
  <c r="K21" i="10"/>
  <c r="F19" i="10"/>
  <c r="F18" i="10"/>
  <c r="G12" i="10"/>
  <c r="H12" i="10"/>
  <c r="I12" i="10"/>
  <c r="J12" i="10"/>
  <c r="K12" i="10"/>
  <c r="F12" i="10"/>
  <c r="H5" i="10"/>
  <c r="I5" i="10"/>
  <c r="J5" i="10"/>
  <c r="K5" i="10"/>
  <c r="G5" i="10"/>
  <c r="J4" i="9"/>
  <c r="I4" i="9"/>
  <c r="H4" i="9"/>
  <c r="G4" i="9"/>
  <c r="F4" i="9"/>
  <c r="E4" i="9"/>
  <c r="H17" i="5"/>
  <c r="I17" i="5"/>
  <c r="G17" i="5"/>
  <c r="I16" i="5"/>
  <c r="H16" i="5"/>
  <c r="G16" i="5"/>
  <c r="F16" i="5"/>
  <c r="E16" i="5"/>
  <c r="D16" i="5"/>
  <c r="I4" i="5"/>
  <c r="H4" i="5"/>
  <c r="G4" i="5"/>
  <c r="F4" i="5"/>
  <c r="E4" i="5"/>
  <c r="D4" i="5"/>
  <c r="E29" i="21" l="1"/>
  <c r="D15" i="13"/>
  <c r="D16" i="13" s="1"/>
  <c r="E15" i="13"/>
  <c r="E16" i="13" s="1"/>
  <c r="F15" i="13"/>
  <c r="F16" i="13" s="1"/>
  <c r="G15" i="13"/>
  <c r="G16" i="13" s="1"/>
  <c r="H15" i="13"/>
  <c r="H16" i="13" s="1"/>
  <c r="I16" i="13" s="1"/>
  <c r="J16" i="13" s="1"/>
  <c r="K16" i="13" s="1"/>
  <c r="L16" i="13" s="1"/>
  <c r="M16" i="13" s="1"/>
  <c r="C15" i="13"/>
  <c r="C16" i="13" s="1"/>
  <c r="J43" i="11"/>
  <c r="K43" i="11"/>
  <c r="L43" i="11"/>
  <c r="M43" i="11"/>
  <c r="I43" i="11"/>
  <c r="J49" i="11"/>
  <c r="K49" i="11"/>
  <c r="L49" i="11"/>
  <c r="M49" i="11"/>
  <c r="I49" i="11"/>
  <c r="I14" i="11"/>
  <c r="E5" i="24"/>
  <c r="F5" i="24"/>
  <c r="G5" i="24"/>
  <c r="H5" i="24"/>
  <c r="I5" i="24"/>
  <c r="E6" i="24"/>
  <c r="F6" i="24"/>
  <c r="G6" i="24"/>
  <c r="H6" i="24"/>
  <c r="I6" i="24"/>
  <c r="E4" i="24"/>
  <c r="E9" i="24"/>
  <c r="F9" i="24"/>
  <c r="G9" i="24"/>
  <c r="H9" i="24"/>
  <c r="I9" i="24"/>
  <c r="E11" i="24"/>
  <c r="F11" i="24"/>
  <c r="G11" i="24"/>
  <c r="H11" i="24"/>
  <c r="I11" i="24"/>
  <c r="E12" i="24"/>
  <c r="F12" i="24"/>
  <c r="G12" i="24"/>
  <c r="H12" i="24"/>
  <c r="I12" i="24"/>
  <c r="E13" i="24"/>
  <c r="F13" i="24"/>
  <c r="G13" i="24"/>
  <c r="H13" i="24"/>
  <c r="I13" i="24"/>
  <c r="E3" i="24"/>
  <c r="F3" i="24"/>
  <c r="G3" i="24"/>
  <c r="H3" i="24"/>
  <c r="I3" i="24"/>
  <c r="D15" i="24"/>
  <c r="D5" i="24"/>
  <c r="D4" i="24"/>
  <c r="E15" i="24"/>
  <c r="F15" i="24"/>
  <c r="F4" i="24"/>
  <c r="G15" i="24"/>
  <c r="G4" i="24"/>
  <c r="D13" i="24" l="1"/>
  <c r="D11" i="24"/>
  <c r="D9" i="24"/>
  <c r="D6" i="24"/>
  <c r="D3" i="24"/>
  <c r="D12" i="24"/>
  <c r="H15" i="24"/>
  <c r="H4" i="24"/>
  <c r="I4" i="24"/>
  <c r="I15" i="24"/>
  <c r="D4" i="13"/>
  <c r="D5" i="13" s="1"/>
  <c r="E4" i="13"/>
  <c r="E5" i="13" s="1"/>
  <c r="F4" i="13"/>
  <c r="F5" i="13" s="1"/>
  <c r="G4" i="13"/>
  <c r="G5" i="13" s="1"/>
  <c r="H4" i="13"/>
  <c r="H5" i="13" s="1"/>
  <c r="C4" i="13"/>
  <c r="C5" i="13" s="1"/>
  <c r="F15" i="2"/>
  <c r="G15" i="2"/>
  <c r="H15" i="2"/>
  <c r="I15" i="2"/>
  <c r="J15" i="2"/>
  <c r="E40" i="2"/>
  <c r="F40" i="2"/>
  <c r="G40" i="2"/>
  <c r="H40" i="2"/>
  <c r="E15" i="2"/>
  <c r="I40" i="2"/>
  <c r="J40" i="2"/>
  <c r="E33" i="2"/>
  <c r="F33" i="2"/>
  <c r="H33" i="2"/>
  <c r="G33" i="2"/>
  <c r="I33" i="2"/>
  <c r="J33" i="2"/>
  <c r="I41" i="2" l="1"/>
  <c r="I27" i="23" s="1"/>
  <c r="I29" i="23"/>
  <c r="I37" i="23"/>
  <c r="I35" i="23"/>
  <c r="I33" i="23"/>
  <c r="I30" i="23"/>
  <c r="I28" i="23"/>
  <c r="I26" i="23"/>
  <c r="I34" i="23"/>
  <c r="I31" i="23"/>
  <c r="I32" i="23" l="1"/>
  <c r="I36" i="23"/>
  <c r="I38" i="23"/>
  <c r="I25" i="23"/>
  <c r="I39" i="23"/>
  <c r="I40" i="23" s="1"/>
  <c r="E24" i="21"/>
  <c r="E25" i="21"/>
  <c r="E26" i="21"/>
  <c r="E23" i="21"/>
  <c r="D24" i="21"/>
  <c r="D25" i="21"/>
  <c r="D26" i="21"/>
  <c r="D23" i="21"/>
  <c r="E17" i="21"/>
  <c r="E18" i="21"/>
  <c r="E19" i="21"/>
  <c r="E20" i="21"/>
  <c r="E21" i="21"/>
  <c r="E22" i="21"/>
  <c r="E16" i="21"/>
  <c r="D22" i="21"/>
  <c r="D17" i="21"/>
  <c r="D18" i="21"/>
  <c r="D19" i="21"/>
  <c r="D20" i="21"/>
  <c r="D21" i="21"/>
  <c r="D16" i="21"/>
  <c r="E21" i="19" l="1"/>
  <c r="E22" i="19"/>
  <c r="E15" i="21" s="1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5" i="19"/>
  <c r="E8" i="19" l="1"/>
  <c r="E4" i="19"/>
  <c r="E5" i="19" s="1"/>
  <c r="E14" i="19" l="1"/>
  <c r="H13" i="16" l="1"/>
  <c r="G13" i="16"/>
  <c r="F13" i="16"/>
  <c r="E13" i="16"/>
  <c r="D13" i="16"/>
  <c r="C13" i="16"/>
  <c r="H10" i="16"/>
  <c r="H5" i="15" s="1"/>
  <c r="G10" i="16"/>
  <c r="G5" i="15" s="1"/>
  <c r="F10" i="16"/>
  <c r="F5" i="15" s="1"/>
  <c r="E10" i="16"/>
  <c r="E5" i="15" s="1"/>
  <c r="D10" i="16"/>
  <c r="D5" i="15" s="1"/>
  <c r="C10" i="16"/>
  <c r="C5" i="15" s="1"/>
  <c r="H8" i="16"/>
  <c r="G8" i="16"/>
  <c r="F8" i="16"/>
  <c r="E8" i="16"/>
  <c r="D8" i="16"/>
  <c r="C8" i="16"/>
  <c r="B8" i="16"/>
  <c r="H7" i="16"/>
  <c r="G7" i="16"/>
  <c r="F7" i="16"/>
  <c r="E7" i="16"/>
  <c r="D7" i="16"/>
  <c r="C7" i="16"/>
  <c r="B7" i="16"/>
  <c r="M37" i="11"/>
  <c r="M13" i="16" s="1"/>
  <c r="L37" i="11"/>
  <c r="L13" i="16" s="1"/>
  <c r="K37" i="11"/>
  <c r="K13" i="16" s="1"/>
  <c r="J37" i="11"/>
  <c r="J13" i="16" s="1"/>
  <c r="I37" i="11"/>
  <c r="E12" i="19" s="1"/>
  <c r="E13" i="19" s="1"/>
  <c r="E15" i="19" s="1"/>
  <c r="E16" i="19" s="1"/>
  <c r="C2" i="21" s="1"/>
  <c r="D7" i="15"/>
  <c r="G7" i="15"/>
  <c r="H4" i="15" s="1"/>
  <c r="H7" i="15"/>
  <c r="I4" i="15" s="1"/>
  <c r="D10" i="13"/>
  <c r="E10" i="13"/>
  <c r="F10" i="13"/>
  <c r="G10" i="13"/>
  <c r="D7" i="13"/>
  <c r="E7" i="13"/>
  <c r="F7" i="13"/>
  <c r="G7" i="13"/>
  <c r="H7" i="13"/>
  <c r="E8" i="15"/>
  <c r="F8" i="15"/>
  <c r="G8" i="15"/>
  <c r="D8" i="15"/>
  <c r="H10" i="13"/>
  <c r="C10" i="13"/>
  <c r="C7" i="13"/>
  <c r="J32" i="11"/>
  <c r="K32" i="11"/>
  <c r="L32" i="11"/>
  <c r="M32" i="11"/>
  <c r="I32" i="11"/>
  <c r="D31" i="11"/>
  <c r="E31" i="11"/>
  <c r="E5" i="18" s="1"/>
  <c r="F31" i="11"/>
  <c r="F5" i="18" s="1"/>
  <c r="G31" i="11"/>
  <c r="H31" i="11"/>
  <c r="H5" i="18" s="1"/>
  <c r="C31" i="11"/>
  <c r="C5" i="18" s="1"/>
  <c r="J26" i="11"/>
  <c r="K26" i="11"/>
  <c r="L26" i="11"/>
  <c r="M26" i="11"/>
  <c r="I26" i="11"/>
  <c r="D25" i="11"/>
  <c r="E25" i="11"/>
  <c r="F25" i="11"/>
  <c r="G25" i="11"/>
  <c r="H25" i="11"/>
  <c r="C25" i="11"/>
  <c r="B25" i="11"/>
  <c r="J20" i="11"/>
  <c r="K20" i="11"/>
  <c r="L20" i="11"/>
  <c r="M20" i="11"/>
  <c r="I20" i="11"/>
  <c r="H19" i="11"/>
  <c r="D19" i="11"/>
  <c r="E19" i="11"/>
  <c r="F19" i="11"/>
  <c r="G19" i="11"/>
  <c r="C19" i="11"/>
  <c r="J14" i="11"/>
  <c r="K14" i="11"/>
  <c r="L14" i="11"/>
  <c r="M14" i="11"/>
  <c r="H13" i="11"/>
  <c r="H5" i="16" s="1"/>
  <c r="B13" i="11"/>
  <c r="J8" i="11"/>
  <c r="K8" i="11"/>
  <c r="L8" i="11"/>
  <c r="M8" i="11"/>
  <c r="I8" i="11"/>
  <c r="D7" i="11"/>
  <c r="D4" i="16" s="1"/>
  <c r="E7" i="11"/>
  <c r="E4" i="16" s="1"/>
  <c r="F7" i="11"/>
  <c r="G7" i="11"/>
  <c r="G4" i="16" s="1"/>
  <c r="H7" i="11"/>
  <c r="H4" i="16" s="1"/>
  <c r="C7" i="11"/>
  <c r="D9" i="15" l="1"/>
  <c r="G10" i="15"/>
  <c r="G11" i="15" s="1"/>
  <c r="G9" i="15"/>
  <c r="H10" i="15"/>
  <c r="H8" i="13"/>
  <c r="I8" i="13" s="1"/>
  <c r="J8" i="13" s="1"/>
  <c r="C9" i="15"/>
  <c r="F10" i="15"/>
  <c r="F9" i="15"/>
  <c r="H9" i="15"/>
  <c r="H11" i="13"/>
  <c r="I11" i="13" s="1"/>
  <c r="E10" i="15"/>
  <c r="E9" i="15"/>
  <c r="E11" i="15" s="1"/>
  <c r="F8" i="11"/>
  <c r="C26" i="11"/>
  <c r="E26" i="11"/>
  <c r="D26" i="11"/>
  <c r="E20" i="11"/>
  <c r="C4" i="16"/>
  <c r="F26" i="11"/>
  <c r="D32" i="11"/>
  <c r="D5" i="18"/>
  <c r="G8" i="11"/>
  <c r="C20" i="11"/>
  <c r="D20" i="11"/>
  <c r="G32" i="11"/>
  <c r="G5" i="18"/>
  <c r="C32" i="11"/>
  <c r="F32" i="11"/>
  <c r="E8" i="11"/>
  <c r="G26" i="11"/>
  <c r="E32" i="11"/>
  <c r="F4" i="16"/>
  <c r="H6" i="16"/>
  <c r="H9" i="16" s="1"/>
  <c r="H11" i="16" s="1"/>
  <c r="H12" i="16" s="1"/>
  <c r="H14" i="16" s="1"/>
  <c r="H4" i="18" s="1"/>
  <c r="H6" i="18" s="1"/>
  <c r="H26" i="11"/>
  <c r="I7" i="11"/>
  <c r="H32" i="11"/>
  <c r="H14" i="11"/>
  <c r="H20" i="11"/>
  <c r="L7" i="21"/>
  <c r="K7" i="21"/>
  <c r="N7" i="21"/>
  <c r="J7" i="21"/>
  <c r="M7" i="21"/>
  <c r="I13" i="16"/>
  <c r="E4" i="15"/>
  <c r="H6" i="15"/>
  <c r="H7" i="18" s="1"/>
  <c r="C8" i="15"/>
  <c r="C10" i="15"/>
  <c r="I5" i="13"/>
  <c r="H8" i="15"/>
  <c r="D10" i="15"/>
  <c r="F7" i="15"/>
  <c r="C7" i="15"/>
  <c r="D4" i="15" s="1"/>
  <c r="D7" i="18" s="1"/>
  <c r="E7" i="15"/>
  <c r="F4" i="15" s="1"/>
  <c r="H8" i="11"/>
  <c r="G20" i="11"/>
  <c r="F20" i="11"/>
  <c r="D8" i="11"/>
  <c r="G23" i="10"/>
  <c r="H23" i="10"/>
  <c r="I23" i="10"/>
  <c r="J23" i="10"/>
  <c r="K23" i="10"/>
  <c r="F23" i="10"/>
  <c r="G15" i="10"/>
  <c r="H15" i="10"/>
  <c r="I15" i="10"/>
  <c r="J15" i="10"/>
  <c r="K15" i="10"/>
  <c r="F15" i="10"/>
  <c r="G4" i="10"/>
  <c r="H4" i="10"/>
  <c r="I4" i="10"/>
  <c r="J4" i="10"/>
  <c r="K4" i="10"/>
  <c r="F4" i="10"/>
  <c r="E4" i="10"/>
  <c r="F5" i="9"/>
  <c r="G5" i="9"/>
  <c r="H5" i="9"/>
  <c r="I5" i="9"/>
  <c r="J5" i="9"/>
  <c r="E5" i="9"/>
  <c r="D11" i="15" l="1"/>
  <c r="F11" i="15"/>
  <c r="H11" i="15"/>
  <c r="H12" i="15" s="1"/>
  <c r="H8" i="18" s="1"/>
  <c r="H9" i="18" s="1"/>
  <c r="I6" i="21" s="1"/>
  <c r="G12" i="15"/>
  <c r="G8" i="18" s="1"/>
  <c r="J7" i="11"/>
  <c r="K7" i="11" s="1"/>
  <c r="K31" i="11" s="1"/>
  <c r="I48" i="11"/>
  <c r="I42" i="11"/>
  <c r="I31" i="11"/>
  <c r="I10" i="16" s="1"/>
  <c r="I5" i="15" s="1"/>
  <c r="I13" i="11"/>
  <c r="I5" i="16" s="1"/>
  <c r="I4" i="13"/>
  <c r="I8" i="15" s="1"/>
  <c r="I19" i="11"/>
  <c r="I7" i="16" s="1"/>
  <c r="I25" i="11"/>
  <c r="I8" i="16" s="1"/>
  <c r="I4" i="16"/>
  <c r="G24" i="10"/>
  <c r="K24" i="10"/>
  <c r="J5" i="13"/>
  <c r="K5" i="13" s="1"/>
  <c r="C11" i="15"/>
  <c r="D12" i="15" s="1"/>
  <c r="D8" i="18" s="1"/>
  <c r="J24" i="10"/>
  <c r="I24" i="10"/>
  <c r="E6" i="15"/>
  <c r="E7" i="18" s="1"/>
  <c r="I13" i="13"/>
  <c r="F6" i="15"/>
  <c r="F7" i="18" s="1"/>
  <c r="G4" i="15"/>
  <c r="G6" i="15" s="1"/>
  <c r="G7" i="18" s="1"/>
  <c r="E12" i="15"/>
  <c r="E8" i="18" s="1"/>
  <c r="F12" i="15"/>
  <c r="F8" i="18" s="1"/>
  <c r="H13" i="13"/>
  <c r="J11" i="13"/>
  <c r="K8" i="13"/>
  <c r="F24" i="10"/>
  <c r="H24" i="10"/>
  <c r="J13" i="11" l="1"/>
  <c r="J5" i="16" s="1"/>
  <c r="J25" i="11"/>
  <c r="J8" i="16" s="1"/>
  <c r="J4" i="16"/>
  <c r="J31" i="11"/>
  <c r="J5" i="18" s="1"/>
  <c r="J19" i="11"/>
  <c r="J7" i="16" s="1"/>
  <c r="J15" i="13"/>
  <c r="J7" i="15" s="1"/>
  <c r="K4" i="15" s="1"/>
  <c r="K42" i="11"/>
  <c r="K48" i="11"/>
  <c r="J48" i="11"/>
  <c r="J42" i="11"/>
  <c r="I5" i="18"/>
  <c r="K15" i="13"/>
  <c r="K7" i="15" s="1"/>
  <c r="L4" i="15" s="1"/>
  <c r="K19" i="11"/>
  <c r="K7" i="16" s="1"/>
  <c r="L7" i="11"/>
  <c r="L15" i="13" s="1"/>
  <c r="L7" i="15" s="1"/>
  <c r="M4" i="15" s="1"/>
  <c r="K25" i="11"/>
  <c r="K8" i="16" s="1"/>
  <c r="K13" i="11"/>
  <c r="K5" i="16" s="1"/>
  <c r="K4" i="16"/>
  <c r="I6" i="16"/>
  <c r="I9" i="16" s="1"/>
  <c r="I11" i="16" s="1"/>
  <c r="I12" i="16" s="1"/>
  <c r="I14" i="16" s="1"/>
  <c r="I4" i="18" s="1"/>
  <c r="J7" i="13"/>
  <c r="J10" i="15" s="1"/>
  <c r="I7" i="13"/>
  <c r="I10" i="15" s="1"/>
  <c r="J10" i="13"/>
  <c r="J9" i="15" s="1"/>
  <c r="I10" i="13"/>
  <c r="I9" i="15" s="1"/>
  <c r="J4" i="13"/>
  <c r="J8" i="15" s="1"/>
  <c r="J13" i="13"/>
  <c r="K11" i="13"/>
  <c r="K5" i="18"/>
  <c r="K10" i="16"/>
  <c r="K5" i="15" s="1"/>
  <c r="K4" i="13"/>
  <c r="K8" i="15" s="1"/>
  <c r="L8" i="13"/>
  <c r="L5" i="13"/>
  <c r="I6" i="18" l="1"/>
  <c r="J6" i="16"/>
  <c r="J9" i="16" s="1"/>
  <c r="M7" i="11"/>
  <c r="M48" i="11" s="1"/>
  <c r="J10" i="16"/>
  <c r="J5" i="15" s="1"/>
  <c r="K6" i="15"/>
  <c r="K7" i="18" s="1"/>
  <c r="L4" i="16"/>
  <c r="L42" i="11"/>
  <c r="L48" i="11"/>
  <c r="L31" i="11"/>
  <c r="L5" i="18" s="1"/>
  <c r="K10" i="13"/>
  <c r="K9" i="15" s="1"/>
  <c r="K6" i="16"/>
  <c r="K9" i="16" s="1"/>
  <c r="K11" i="16" s="1"/>
  <c r="K12" i="16" s="1"/>
  <c r="K14" i="16" s="1"/>
  <c r="K4" i="18" s="1"/>
  <c r="K6" i="18" s="1"/>
  <c r="L19" i="11"/>
  <c r="L7" i="16" s="1"/>
  <c r="L25" i="11"/>
  <c r="L8" i="16" s="1"/>
  <c r="L13" i="11"/>
  <c r="L5" i="16" s="1"/>
  <c r="K7" i="13"/>
  <c r="K10" i="15" s="1"/>
  <c r="I11" i="15"/>
  <c r="I12" i="15" s="1"/>
  <c r="I8" i="18" s="1"/>
  <c r="J11" i="15"/>
  <c r="C13" i="11"/>
  <c r="D13" i="11"/>
  <c r="G13" i="11"/>
  <c r="E13" i="11"/>
  <c r="F13" i="11"/>
  <c r="K13" i="13"/>
  <c r="L11" i="13"/>
  <c r="L4" i="13"/>
  <c r="L8" i="15" s="1"/>
  <c r="M8" i="13"/>
  <c r="M5" i="13"/>
  <c r="G7" i="5"/>
  <c r="G7" i="24" s="1"/>
  <c r="D7" i="5"/>
  <c r="D7" i="24" s="1"/>
  <c r="F7" i="5"/>
  <c r="F7" i="24" s="1"/>
  <c r="H7" i="5"/>
  <c r="H7" i="24" s="1"/>
  <c r="I7" i="5"/>
  <c r="I7" i="24" s="1"/>
  <c r="E7" i="5"/>
  <c r="E7" i="24" s="1"/>
  <c r="G8" i="10"/>
  <c r="H8" i="10"/>
  <c r="I8" i="10"/>
  <c r="J8" i="10"/>
  <c r="K8" i="10"/>
  <c r="F8" i="10"/>
  <c r="F23" i="2"/>
  <c r="G7" i="10" s="1"/>
  <c r="G23" i="2"/>
  <c r="H7" i="10" s="1"/>
  <c r="H23" i="2"/>
  <c r="I7" i="10" s="1"/>
  <c r="I23" i="2"/>
  <c r="J7" i="10" s="1"/>
  <c r="J23" i="2"/>
  <c r="K7" i="10" s="1"/>
  <c r="E23" i="2"/>
  <c r="F7" i="10" s="1"/>
  <c r="M31" i="11" l="1"/>
  <c r="M19" i="11"/>
  <c r="M7" i="16" s="1"/>
  <c r="M15" i="13"/>
  <c r="M7" i="15" s="1"/>
  <c r="M4" i="16"/>
  <c r="M42" i="11"/>
  <c r="M13" i="11"/>
  <c r="M5" i="16" s="1"/>
  <c r="M25" i="11"/>
  <c r="M8" i="16" s="1"/>
  <c r="J11" i="16"/>
  <c r="J12" i="16" s="1"/>
  <c r="J14" i="16" s="1"/>
  <c r="J4" i="18" s="1"/>
  <c r="J6" i="18" s="1"/>
  <c r="E8" i="13"/>
  <c r="E11" i="13"/>
  <c r="G8" i="13"/>
  <c r="G11" i="13"/>
  <c r="D8" i="13"/>
  <c r="D11" i="13"/>
  <c r="F8" i="13"/>
  <c r="F11" i="13"/>
  <c r="C11" i="13"/>
  <c r="C8" i="13"/>
  <c r="L6" i="16"/>
  <c r="L9" i="16" s="1"/>
  <c r="L10" i="16"/>
  <c r="L5" i="15" s="1"/>
  <c r="L6" i="15" s="1"/>
  <c r="L7" i="18" s="1"/>
  <c r="K11" i="15"/>
  <c r="K12" i="15" s="1"/>
  <c r="K8" i="18" s="1"/>
  <c r="K9" i="18" s="1"/>
  <c r="L6" i="21" s="1"/>
  <c r="L8" i="21" s="1"/>
  <c r="L7" i="13"/>
  <c r="L10" i="15" s="1"/>
  <c r="L10" i="13"/>
  <c r="L9" i="15" s="1"/>
  <c r="J12" i="15"/>
  <c r="J8" i="18" s="1"/>
  <c r="M11" i="13"/>
  <c r="M13" i="13" s="1"/>
  <c r="E5" i="16"/>
  <c r="E6" i="16" s="1"/>
  <c r="E9" i="16" s="1"/>
  <c r="E11" i="16" s="1"/>
  <c r="E12" i="16" s="1"/>
  <c r="E14" i="16" s="1"/>
  <c r="E4" i="18" s="1"/>
  <c r="E6" i="18" s="1"/>
  <c r="E9" i="18" s="1"/>
  <c r="F6" i="21" s="1"/>
  <c r="E14" i="11"/>
  <c r="L13" i="13"/>
  <c r="F5" i="16"/>
  <c r="F6" i="16" s="1"/>
  <c r="F9" i="16" s="1"/>
  <c r="F11" i="16" s="1"/>
  <c r="F14" i="11"/>
  <c r="G14" i="11"/>
  <c r="G5" i="16"/>
  <c r="G6" i="16" s="1"/>
  <c r="G9" i="16" s="1"/>
  <c r="G11" i="16" s="1"/>
  <c r="C5" i="16"/>
  <c r="C6" i="16" s="1"/>
  <c r="C9" i="16" s="1"/>
  <c r="C11" i="16" s="1"/>
  <c r="C14" i="11"/>
  <c r="D14" i="11"/>
  <c r="D5" i="16"/>
  <c r="D6" i="16" s="1"/>
  <c r="D9" i="16" s="1"/>
  <c r="D11" i="16" s="1"/>
  <c r="D12" i="16" s="1"/>
  <c r="D14" i="16" s="1"/>
  <c r="D4" i="18" s="1"/>
  <c r="D6" i="18" s="1"/>
  <c r="D9" i="18" s="1"/>
  <c r="E6" i="21" s="1"/>
  <c r="F9" i="10"/>
  <c r="G9" i="10"/>
  <c r="H9" i="10"/>
  <c r="I9" i="10"/>
  <c r="J9" i="10"/>
  <c r="K9" i="10"/>
  <c r="M5" i="18"/>
  <c r="M10" i="16"/>
  <c r="M5" i="15" s="1"/>
  <c r="M6" i="15" s="1"/>
  <c r="M7" i="18" s="1"/>
  <c r="M4" i="13"/>
  <c r="M8" i="15" s="1"/>
  <c r="H8" i="5"/>
  <c r="J24" i="2"/>
  <c r="H41" i="2"/>
  <c r="F8" i="5"/>
  <c r="G24" i="2"/>
  <c r="I24" i="2"/>
  <c r="E41" i="2"/>
  <c r="G41" i="2"/>
  <c r="E8" i="5"/>
  <c r="D8" i="5"/>
  <c r="H24" i="2"/>
  <c r="J41" i="2"/>
  <c r="F41" i="2"/>
  <c r="I8" i="5"/>
  <c r="G8" i="5"/>
  <c r="M6" i="16" l="1"/>
  <c r="M9" i="16" s="1"/>
  <c r="M11" i="16" s="1"/>
  <c r="M12" i="16" s="1"/>
  <c r="M14" i="16" s="1"/>
  <c r="M4" i="18" s="1"/>
  <c r="M6" i="18" s="1"/>
  <c r="L11" i="16"/>
  <c r="L12" i="16" s="1"/>
  <c r="L14" i="16" s="1"/>
  <c r="L4" i="18" s="1"/>
  <c r="L6" i="18" s="1"/>
  <c r="M7" i="13"/>
  <c r="M10" i="15" s="1"/>
  <c r="F27" i="23"/>
  <c r="F29" i="23"/>
  <c r="F31" i="23"/>
  <c r="F34" i="23"/>
  <c r="F36" i="23"/>
  <c r="F38" i="23"/>
  <c r="F26" i="23"/>
  <c r="F28" i="23"/>
  <c r="F30" i="23"/>
  <c r="F33" i="23"/>
  <c r="F35" i="23"/>
  <c r="F25" i="23"/>
  <c r="F37" i="23"/>
  <c r="F39" i="23"/>
  <c r="F32" i="23"/>
  <c r="J27" i="23"/>
  <c r="J31" i="23"/>
  <c r="J34" i="23"/>
  <c r="J36" i="23"/>
  <c r="J38" i="23"/>
  <c r="J26" i="23"/>
  <c r="J28" i="23"/>
  <c r="J30" i="23"/>
  <c r="J33" i="23"/>
  <c r="J37" i="23"/>
  <c r="J25" i="23"/>
  <c r="J29" i="23"/>
  <c r="J32" i="23"/>
  <c r="J35" i="23"/>
  <c r="J39" i="23"/>
  <c r="G25" i="23"/>
  <c r="G26" i="23"/>
  <c r="G30" i="23"/>
  <c r="G33" i="23"/>
  <c r="G37" i="23"/>
  <c r="G27" i="23"/>
  <c r="G29" i="23"/>
  <c r="G31" i="23"/>
  <c r="G34" i="23"/>
  <c r="G36" i="23"/>
  <c r="G38" i="23"/>
  <c r="G28" i="23"/>
  <c r="G35" i="23"/>
  <c r="G39" i="23"/>
  <c r="G32" i="23"/>
  <c r="E25" i="23"/>
  <c r="E29" i="23"/>
  <c r="E36" i="23"/>
  <c r="E26" i="23"/>
  <c r="E28" i="23"/>
  <c r="E30" i="23"/>
  <c r="E33" i="23"/>
  <c r="E35" i="23"/>
  <c r="E37" i="23"/>
  <c r="E27" i="23"/>
  <c r="E31" i="23"/>
  <c r="E34" i="23"/>
  <c r="E38" i="23"/>
  <c r="E32" i="23"/>
  <c r="E39" i="23"/>
  <c r="H26" i="23"/>
  <c r="H28" i="23"/>
  <c r="H30" i="23"/>
  <c r="H33" i="23"/>
  <c r="H35" i="23"/>
  <c r="H37" i="23"/>
  <c r="H31" i="23"/>
  <c r="H36" i="23"/>
  <c r="H38" i="23"/>
  <c r="H25" i="23"/>
  <c r="H27" i="23"/>
  <c r="H29" i="23"/>
  <c r="H32" i="23"/>
  <c r="H34" i="23"/>
  <c r="H39" i="23"/>
  <c r="M10" i="13"/>
  <c r="M9" i="15" s="1"/>
  <c r="M11" i="15" s="1"/>
  <c r="J7" i="23"/>
  <c r="J11" i="23"/>
  <c r="J15" i="23"/>
  <c r="J18" i="23"/>
  <c r="J21" i="23"/>
  <c r="J5" i="23"/>
  <c r="J13" i="23"/>
  <c r="J16" i="23"/>
  <c r="J3" i="23"/>
  <c r="J6" i="23"/>
  <c r="J17" i="23"/>
  <c r="J20" i="23"/>
  <c r="J4" i="23"/>
  <c r="J8" i="23"/>
  <c r="J12" i="23"/>
  <c r="J19" i="23"/>
  <c r="J22" i="23"/>
  <c r="J9" i="23"/>
  <c r="J10" i="23"/>
  <c r="J14" i="23"/>
  <c r="J23" i="23" s="1"/>
  <c r="I6" i="23"/>
  <c r="I8" i="23"/>
  <c r="I12" i="23"/>
  <c r="I17" i="23"/>
  <c r="I20" i="23"/>
  <c r="I7" i="23"/>
  <c r="I11" i="23"/>
  <c r="I13" i="23"/>
  <c r="I18" i="23"/>
  <c r="I21" i="23"/>
  <c r="I4" i="23"/>
  <c r="I10" i="23"/>
  <c r="I19" i="23"/>
  <c r="I22" i="23"/>
  <c r="I9" i="23"/>
  <c r="I15" i="23"/>
  <c r="I5" i="23"/>
  <c r="I16" i="23"/>
  <c r="I3" i="23"/>
  <c r="I14" i="23"/>
  <c r="H5" i="23"/>
  <c r="H9" i="23"/>
  <c r="H13" i="23"/>
  <c r="H16" i="23"/>
  <c r="H3" i="23"/>
  <c r="H4" i="23"/>
  <c r="H8" i="23"/>
  <c r="H12" i="23"/>
  <c r="H19" i="23"/>
  <c r="H22" i="23"/>
  <c r="H6" i="23"/>
  <c r="H20" i="23"/>
  <c r="H7" i="23"/>
  <c r="H11" i="23"/>
  <c r="H15" i="23"/>
  <c r="H18" i="23"/>
  <c r="H21" i="23"/>
  <c r="H10" i="23"/>
  <c r="H17" i="23"/>
  <c r="H14" i="23"/>
  <c r="G5" i="23"/>
  <c r="G8" i="23"/>
  <c r="G11" i="23"/>
  <c r="G13" i="23"/>
  <c r="G15" i="23"/>
  <c r="G16" i="23"/>
  <c r="G18" i="23"/>
  <c r="G21" i="23"/>
  <c r="G4" i="23"/>
  <c r="G6" i="23"/>
  <c r="G7" i="23"/>
  <c r="G9" i="23"/>
  <c r="G10" i="23"/>
  <c r="G12" i="23"/>
  <c r="G17" i="23"/>
  <c r="G19" i="23"/>
  <c r="G20" i="23"/>
  <c r="G22" i="23"/>
  <c r="G3" i="23"/>
  <c r="G14" i="23"/>
  <c r="L11" i="15"/>
  <c r="L12" i="15" s="1"/>
  <c r="L8" i="18" s="1"/>
  <c r="F11" i="10"/>
  <c r="D8" i="24"/>
  <c r="G11" i="10"/>
  <c r="E8" i="24"/>
  <c r="J11" i="10"/>
  <c r="H8" i="24"/>
  <c r="H11" i="10"/>
  <c r="F8" i="24"/>
  <c r="K11" i="10"/>
  <c r="I8" i="24"/>
  <c r="I11" i="10"/>
  <c r="G8" i="24"/>
  <c r="G13" i="13"/>
  <c r="E13" i="13"/>
  <c r="G12" i="16"/>
  <c r="G14" i="16" s="1"/>
  <c r="G4" i="18" s="1"/>
  <c r="G6" i="18" s="1"/>
  <c r="G9" i="18" s="1"/>
  <c r="H6" i="21" s="1"/>
  <c r="C12" i="16"/>
  <c r="C14" i="16" s="1"/>
  <c r="C4" i="18" s="1"/>
  <c r="C6" i="18" s="1"/>
  <c r="F12" i="16"/>
  <c r="F14" i="16" s="1"/>
  <c r="F4" i="18" s="1"/>
  <c r="F6" i="18" s="1"/>
  <c r="F9" i="18" s="1"/>
  <c r="G6" i="21" s="1"/>
  <c r="D13" i="13"/>
  <c r="C13" i="13"/>
  <c r="F13" i="13"/>
  <c r="H10" i="5"/>
  <c r="F24" i="2"/>
  <c r="I10" i="5"/>
  <c r="E24" i="2"/>
  <c r="F10" i="5"/>
  <c r="E10" i="5"/>
  <c r="D10" i="5"/>
  <c r="G10" i="5"/>
  <c r="L9" i="18" l="1"/>
  <c r="M6" i="21" s="1"/>
  <c r="M8" i="21" s="1"/>
  <c r="F10" i="24"/>
  <c r="F15" i="5"/>
  <c r="G10" i="24"/>
  <c r="G15" i="5"/>
  <c r="F42" i="11" s="1"/>
  <c r="F43" i="11" s="1"/>
  <c r="I10" i="24"/>
  <c r="I15" i="5"/>
  <c r="H10" i="24"/>
  <c r="H15" i="5"/>
  <c r="D10" i="24"/>
  <c r="D15" i="5"/>
  <c r="E10" i="24"/>
  <c r="E15" i="5"/>
  <c r="F40" i="23"/>
  <c r="H40" i="23"/>
  <c r="E40" i="23"/>
  <c r="G40" i="23"/>
  <c r="J40" i="23"/>
  <c r="I23" i="23"/>
  <c r="H23" i="23"/>
  <c r="G23" i="23"/>
  <c r="F7" i="23"/>
  <c r="F11" i="23"/>
  <c r="F15" i="23"/>
  <c r="F18" i="23"/>
  <c r="F21" i="23"/>
  <c r="F20" i="23"/>
  <c r="F4" i="23"/>
  <c r="F8" i="23"/>
  <c r="F12" i="23"/>
  <c r="F19" i="23"/>
  <c r="F22" i="23"/>
  <c r="F6" i="23"/>
  <c r="F5" i="23"/>
  <c r="F9" i="23"/>
  <c r="F13" i="23"/>
  <c r="F16" i="23"/>
  <c r="F3" i="23"/>
  <c r="F10" i="23"/>
  <c r="F17" i="23"/>
  <c r="F14" i="23"/>
  <c r="E6" i="23"/>
  <c r="E12" i="23"/>
  <c r="E17" i="23"/>
  <c r="E22" i="23"/>
  <c r="E3" i="23"/>
  <c r="E5" i="23"/>
  <c r="E9" i="23"/>
  <c r="E11" i="23"/>
  <c r="E15" i="23"/>
  <c r="E16" i="23"/>
  <c r="E4" i="23"/>
  <c r="E8" i="23"/>
  <c r="E10" i="23"/>
  <c r="E19" i="23"/>
  <c r="E20" i="23"/>
  <c r="E7" i="23"/>
  <c r="E13" i="23"/>
  <c r="E18" i="23"/>
  <c r="E21" i="23"/>
  <c r="E14" i="23"/>
  <c r="M12" i="15"/>
  <c r="M8" i="18" s="1"/>
  <c r="M9" i="18" s="1"/>
  <c r="N6" i="21" s="1"/>
  <c r="E11" i="21" s="1"/>
  <c r="E12" i="21" s="1"/>
  <c r="F20" i="10"/>
  <c r="H42" i="11"/>
  <c r="H43" i="11" s="1"/>
  <c r="G42" i="11"/>
  <c r="G43" i="11" s="1"/>
  <c r="F14" i="24" l="1"/>
  <c r="E42" i="11"/>
  <c r="E43" i="11" s="1"/>
  <c r="E14" i="24"/>
  <c r="D42" i="11"/>
  <c r="D43" i="11" s="1"/>
  <c r="D14" i="24"/>
  <c r="C42" i="11"/>
  <c r="C43" i="11" s="1"/>
  <c r="F23" i="23"/>
  <c r="E23" i="23"/>
  <c r="H14" i="24"/>
  <c r="I14" i="24"/>
  <c r="G14" i="24"/>
  <c r="N8" i="21"/>
  <c r="E17" i="5"/>
  <c r="F17" i="5"/>
  <c r="D17" i="5"/>
  <c r="I16" i="24" l="1"/>
  <c r="H48" i="11"/>
  <c r="H49" i="11" s="1"/>
  <c r="H16" i="24"/>
  <c r="G48" i="11"/>
  <c r="G49" i="11" s="1"/>
  <c r="G16" i="24"/>
  <c r="F48" i="11"/>
  <c r="F49" i="11" s="1"/>
  <c r="F16" i="24"/>
  <c r="E48" i="11"/>
  <c r="E49" i="11" s="1"/>
  <c r="E16" i="24"/>
  <c r="D48" i="11"/>
  <c r="D49" i="11" s="1"/>
  <c r="D16" i="24"/>
  <c r="C48" i="11"/>
  <c r="C49" i="11" s="1"/>
  <c r="H14" i="10"/>
  <c r="J14" i="10"/>
  <c r="F14" i="10"/>
  <c r="I14" i="10"/>
  <c r="G14" i="10"/>
  <c r="K14" i="10"/>
  <c r="J16" i="10" l="1"/>
  <c r="G16" i="10"/>
  <c r="F16" i="10"/>
  <c r="F21" i="10"/>
  <c r="H16" i="10"/>
  <c r="I16" i="10"/>
  <c r="K16" i="10"/>
  <c r="I15" i="13"/>
  <c r="I7" i="15" s="1"/>
  <c r="J4" i="15" l="1"/>
  <c r="J6" i="15" s="1"/>
  <c r="J7" i="18" s="1"/>
  <c r="J9" i="18" s="1"/>
  <c r="K6" i="21" s="1"/>
  <c r="K8" i="21" s="1"/>
  <c r="I6" i="15"/>
  <c r="I7" i="18" s="1"/>
  <c r="I9" i="18" s="1"/>
  <c r="J6" i="21" s="1"/>
  <c r="J8" i="21" s="1"/>
  <c r="E10" i="21" l="1"/>
  <c r="E13" i="21" s="1"/>
  <c r="F10" i="21" s="1"/>
  <c r="I11" i="21" l="1"/>
  <c r="E28" i="21"/>
  <c r="E30" i="21" s="1"/>
  <c r="F12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Raghavendra Kasturi</author>
  </authors>
  <commentList>
    <comment ref="D10" authorId="0" shapeId="0" xr:uid="{00D27DA9-CFD8-4F08-8056-33EFBFD36229}">
      <text>
        <r>
          <rPr>
            <b/>
            <sz val="9"/>
            <color indexed="81"/>
            <rFont val="Tahoma"/>
            <family val="2"/>
          </rPr>
          <t>Raghavendra Kasturi:</t>
        </r>
        <r>
          <rPr>
            <sz val="9"/>
            <color indexed="81"/>
            <rFont val="Tahoma"/>
            <family val="2"/>
          </rPr>
          <t xml:space="preserve">
Sum of pv of FCF</t>
        </r>
      </text>
    </comment>
  </commentList>
</comments>
</file>

<file path=xl/sharedStrings.xml><?xml version="1.0" encoding="utf-8"?>
<sst xmlns="http://schemas.openxmlformats.org/spreadsheetml/2006/main" count="458" uniqueCount="214">
  <si>
    <t>Assets</t>
  </si>
  <si>
    <t>Non Current Assets</t>
  </si>
  <si>
    <t>Particulars</t>
  </si>
  <si>
    <t>Plant, Property &amp; Equipment</t>
  </si>
  <si>
    <t>Notes</t>
  </si>
  <si>
    <t>Operating Item</t>
  </si>
  <si>
    <t>Capital Work in Progress</t>
  </si>
  <si>
    <t>Intangible assets</t>
  </si>
  <si>
    <t>Intangible assets under development</t>
  </si>
  <si>
    <t>Investments</t>
  </si>
  <si>
    <t>Non-Operating Item</t>
  </si>
  <si>
    <t>Income tax assets</t>
  </si>
  <si>
    <t>Other non-current assets</t>
  </si>
  <si>
    <t>Total Non Current Assets</t>
  </si>
  <si>
    <t>Current Assets</t>
  </si>
  <si>
    <t>Invetories</t>
  </si>
  <si>
    <t>Trade Receiveables</t>
  </si>
  <si>
    <t>Cash and Equivalents</t>
  </si>
  <si>
    <t>Bank Balances</t>
  </si>
  <si>
    <t>Other Financial Assets</t>
  </si>
  <si>
    <t>Other Current Assets</t>
  </si>
  <si>
    <t>Loans</t>
  </si>
  <si>
    <t>Deferred Tax Assets</t>
  </si>
  <si>
    <t>Total Current Assets</t>
  </si>
  <si>
    <t>Non Current Liabilities</t>
  </si>
  <si>
    <t>Equity Share Capital</t>
  </si>
  <si>
    <t>Other Equity</t>
  </si>
  <si>
    <t>Non Controlling Interest</t>
  </si>
  <si>
    <t>Borrowings</t>
  </si>
  <si>
    <t>Provisions</t>
  </si>
  <si>
    <t>Deferred Tax Liabilities</t>
  </si>
  <si>
    <t>Total Non Current Liabilities</t>
  </si>
  <si>
    <t>Liabilities</t>
  </si>
  <si>
    <t>Non Operating Item</t>
  </si>
  <si>
    <t>Current Liabilities</t>
  </si>
  <si>
    <t>Trade Payables</t>
  </si>
  <si>
    <t>Other Financial Liabilities</t>
  </si>
  <si>
    <t>Other Current Liabilities</t>
  </si>
  <si>
    <t>Total Current Liabilities</t>
  </si>
  <si>
    <t>Total Assets</t>
  </si>
  <si>
    <t>Total Liabilities</t>
  </si>
  <si>
    <t>Revenue from Operations</t>
  </si>
  <si>
    <t>Other income</t>
  </si>
  <si>
    <t>Cost of Materials Consumed</t>
  </si>
  <si>
    <t>Employee benefit expenes</t>
  </si>
  <si>
    <t>Finance Costs</t>
  </si>
  <si>
    <t>Depriciation and Amortization Expense</t>
  </si>
  <si>
    <t>Other Expenses</t>
  </si>
  <si>
    <t>Share in profit/(loss) of associates, net of tax</t>
  </si>
  <si>
    <t>Profit Before Tax</t>
  </si>
  <si>
    <t>Profit After Tax</t>
  </si>
  <si>
    <t>EBITDA</t>
  </si>
  <si>
    <t>Total Operating Expenses</t>
  </si>
  <si>
    <t>EBIT</t>
  </si>
  <si>
    <t>Tax Expenses</t>
  </si>
  <si>
    <t>Net Cash genereated from operating activities</t>
  </si>
  <si>
    <t>Capex</t>
  </si>
  <si>
    <t>Free Cashflow</t>
  </si>
  <si>
    <t>Sales Growth (%)</t>
  </si>
  <si>
    <t>Current Ratio</t>
  </si>
  <si>
    <t>Sales Growth</t>
  </si>
  <si>
    <t>EBITDA Margin</t>
  </si>
  <si>
    <t>Net Profit</t>
  </si>
  <si>
    <t>Profit After Tax/Net Profit</t>
  </si>
  <si>
    <t>Shareholders Equity</t>
  </si>
  <si>
    <t>Return on Equity (ROE)</t>
  </si>
  <si>
    <t>ROE</t>
  </si>
  <si>
    <t>Net Profit/Net Sales</t>
  </si>
  <si>
    <t>Net Sales/Total Assets</t>
  </si>
  <si>
    <t>Total Assets/Shareholders Equity</t>
  </si>
  <si>
    <t>Du-Pont Analysis</t>
  </si>
  <si>
    <t>Debt</t>
  </si>
  <si>
    <t>Debt/Equity</t>
  </si>
  <si>
    <t>Profitability</t>
  </si>
  <si>
    <t>Liquidity</t>
  </si>
  <si>
    <t>Solvency</t>
  </si>
  <si>
    <t>FY 15</t>
  </si>
  <si>
    <t>FY 16</t>
  </si>
  <si>
    <t>FY 17</t>
  </si>
  <si>
    <t>FY 18</t>
  </si>
  <si>
    <t>FY 19</t>
  </si>
  <si>
    <t>FY 20</t>
  </si>
  <si>
    <t>Selected case</t>
  </si>
  <si>
    <t>Case 1</t>
  </si>
  <si>
    <t>Case 3</t>
  </si>
  <si>
    <t>Case 2</t>
  </si>
  <si>
    <t>Base Case</t>
  </si>
  <si>
    <t>Worst Case</t>
  </si>
  <si>
    <t>Revenue</t>
  </si>
  <si>
    <t>Revenue Growth</t>
  </si>
  <si>
    <t xml:space="preserve">FY 21 </t>
  </si>
  <si>
    <t xml:space="preserve">FY 22 </t>
  </si>
  <si>
    <t xml:space="preserve">FY 23 </t>
  </si>
  <si>
    <t xml:space="preserve">FY 24 </t>
  </si>
  <si>
    <t xml:space="preserve">FY 25 </t>
  </si>
  <si>
    <t>Forecast</t>
  </si>
  <si>
    <t>Actual</t>
  </si>
  <si>
    <t>% of Sales</t>
  </si>
  <si>
    <t>Employee Benefit Expenses</t>
  </si>
  <si>
    <t>% of sales</t>
  </si>
  <si>
    <t>Depreciation &amp; Amortization</t>
  </si>
  <si>
    <t>Accounts Receivables</t>
  </si>
  <si>
    <t>Accounts Payable</t>
  </si>
  <si>
    <t>Inventory</t>
  </si>
  <si>
    <t>DSO</t>
  </si>
  <si>
    <t>DPO</t>
  </si>
  <si>
    <t>DIO</t>
  </si>
  <si>
    <t>CCC</t>
  </si>
  <si>
    <t>Net Revenue</t>
  </si>
  <si>
    <t>Cost of goods Sold</t>
  </si>
  <si>
    <t>Gross Margin</t>
  </si>
  <si>
    <t>D&amp;A</t>
  </si>
  <si>
    <t>Tax Rate %</t>
  </si>
  <si>
    <t xml:space="preserve">Tax </t>
  </si>
  <si>
    <t>Tax Rate</t>
  </si>
  <si>
    <t>Net Operating Profit After Taxes</t>
  </si>
  <si>
    <t>Property, Plant &amp; Equipment</t>
  </si>
  <si>
    <t>D&amp;A Expenses</t>
  </si>
  <si>
    <t>Ending Value (PPE)</t>
  </si>
  <si>
    <t>Accounts Receivable</t>
  </si>
  <si>
    <t>Working Capital</t>
  </si>
  <si>
    <t>Changes in working capital</t>
  </si>
  <si>
    <t>Net operating Profit After Tax</t>
  </si>
  <si>
    <t>Gross Cashflow</t>
  </si>
  <si>
    <t>Investment in working capital</t>
  </si>
  <si>
    <t>Net Cashflow</t>
  </si>
  <si>
    <t xml:space="preserve"> </t>
  </si>
  <si>
    <t>Cost of Capital</t>
  </si>
  <si>
    <t>Total Equity to Capital</t>
  </si>
  <si>
    <t>Net Debt to Capital</t>
  </si>
  <si>
    <t>Risk Free Rate</t>
  </si>
  <si>
    <t>Equity beta</t>
  </si>
  <si>
    <t>Market Risk Premium</t>
  </si>
  <si>
    <t xml:space="preserve">Cost of Equity </t>
  </si>
  <si>
    <t>Pre tax of debt</t>
  </si>
  <si>
    <t>Marginal Tax Rate</t>
  </si>
  <si>
    <t>Cost of Debt</t>
  </si>
  <si>
    <t>Weighted cost of equity</t>
  </si>
  <si>
    <t>Weighted cost of debt</t>
  </si>
  <si>
    <t>Weighted Average Cost of Capital</t>
  </si>
  <si>
    <t>Date</t>
  </si>
  <si>
    <t>NSE 50</t>
  </si>
  <si>
    <t xml:space="preserve">NSE 50 </t>
  </si>
  <si>
    <t>Shares Outstanding</t>
  </si>
  <si>
    <t>Share Price</t>
  </si>
  <si>
    <t>Market Cap</t>
  </si>
  <si>
    <t>WACC</t>
  </si>
  <si>
    <t>Terminal Growth</t>
  </si>
  <si>
    <t>Discount Factor</t>
  </si>
  <si>
    <t>DCF Value</t>
  </si>
  <si>
    <t>Enterprise Value</t>
  </si>
  <si>
    <t>Equity Value</t>
  </si>
  <si>
    <t>Goodwill On Consolidation</t>
  </si>
  <si>
    <t>Current Tax Liabilities</t>
  </si>
  <si>
    <t>Revenue - Total Operating Expenses</t>
  </si>
  <si>
    <t>EBITDA - D &amp; A</t>
  </si>
  <si>
    <t>EBIT + (Other Income - Finance Costs + Share in Profit)</t>
  </si>
  <si>
    <t>(AR/Sales)*365</t>
  </si>
  <si>
    <t>(AP/COGS)*365</t>
  </si>
  <si>
    <t>(Inventory/COGS)*365</t>
  </si>
  <si>
    <t>DSO+DIO-DPO</t>
  </si>
  <si>
    <t>Profit before Tax</t>
  </si>
  <si>
    <t>ITC Share Price</t>
  </si>
  <si>
    <t>Pessimistic</t>
  </si>
  <si>
    <t>Normal</t>
  </si>
  <si>
    <t>Optimistic</t>
  </si>
  <si>
    <t>Optimistic Case</t>
  </si>
  <si>
    <t>Investments in associates and joint ventures</t>
  </si>
  <si>
    <t>Security deposits</t>
  </si>
  <si>
    <t xml:space="preserve">Goodwill </t>
  </si>
  <si>
    <t>Other Intangoble Assets</t>
  </si>
  <si>
    <t>Goodwill Impairement</t>
  </si>
  <si>
    <t>FY 21</t>
  </si>
  <si>
    <t>FY 22</t>
  </si>
  <si>
    <t>FY 23</t>
  </si>
  <si>
    <t>FY 24</t>
  </si>
  <si>
    <t>FY 25</t>
  </si>
  <si>
    <t>FY 26</t>
  </si>
  <si>
    <t>FY 27</t>
  </si>
  <si>
    <t>FY 28</t>
  </si>
  <si>
    <t>FY 29</t>
  </si>
  <si>
    <t xml:space="preserve">FY 26 </t>
  </si>
  <si>
    <t xml:space="preserve">FY 27 </t>
  </si>
  <si>
    <t xml:space="preserve">FY 28 </t>
  </si>
  <si>
    <t xml:space="preserve">FY 29 </t>
  </si>
  <si>
    <t>SIS Monthly return</t>
  </si>
  <si>
    <t>PV of FCF</t>
  </si>
  <si>
    <t xml:space="preserve">Terminal Value </t>
  </si>
  <si>
    <t>PV of Terminal Value</t>
  </si>
  <si>
    <t>Sources:</t>
  </si>
  <si>
    <t>Annual report 2019</t>
  </si>
  <si>
    <t>https://www.bseindia.com/bseplus/AnnualReport/540673/5406730319.pdf</t>
  </si>
  <si>
    <t>https://www.bseindia.com/bseplus/AnnualReport/540673/5406730320.pdf</t>
  </si>
  <si>
    <t>Annual report 2020</t>
  </si>
  <si>
    <t>Annual report 2021</t>
  </si>
  <si>
    <t>https://www.bseindia.com/bseplus/AnnualReport/540673/68517540673.pdf</t>
  </si>
  <si>
    <t>Annual report 2022</t>
  </si>
  <si>
    <t>https://www.bseindia.com/bseplus/AnnualReport/540673/74145540673.pdf</t>
  </si>
  <si>
    <t>Annual report 2023</t>
  </si>
  <si>
    <t>https://www.bseindia.com/xml-data/corpfiling/AttachHis//b3680ddf-6cd3-45a0-b8b0-6a33f3d0d17d.pdf</t>
  </si>
  <si>
    <t>Annual report 2024</t>
  </si>
  <si>
    <t>https://www.bseindia.com/xml-data/corpfiling/AttachHis/74843384-d24e-4a80-b434-5e2c24322adf.pdf</t>
  </si>
  <si>
    <t xml:space="preserve">CMP </t>
  </si>
  <si>
    <t>The cmp is less than intrinsic value. So, the share is undervalued.</t>
  </si>
  <si>
    <t>Particulars (in Millions)</t>
  </si>
  <si>
    <t>Shares Outstanding (Million)</t>
  </si>
  <si>
    <t>Intrinsic Value of Share</t>
  </si>
  <si>
    <t>Valuation of SIS Ltd</t>
  </si>
  <si>
    <t xml:space="preserve">Summary: </t>
  </si>
  <si>
    <t>SIS is a private security firm in India. With over 2,84,776 employees SIS is the market leader in Security Solutions, Facility Management Solutions, and Cash Logistics Solutions.</t>
  </si>
  <si>
    <t xml:space="preserve"> SIS Ltd</t>
  </si>
  <si>
    <t>Mcap in cr:</t>
  </si>
  <si>
    <t>Share Price:</t>
  </si>
  <si>
    <t>Company: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</si>
</sst>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0.0%"/>
    <numFmt numFmtId="166" formatCode="0.0\x"/>
    <numFmt numFmtId="167" formatCode="0.0"/>
    <numFmt numFmtId="168" formatCode="&quot;₹&quot;\ #,##0.00"/>
    <numFmt numFmtId="169" formatCode="&quot;₹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mediumGray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1" fillId="3" borderId="1" xfId="2" applyFont="1" applyFill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/>
    <xf numFmtId="9" fontId="0" fillId="0" borderId="1" xfId="2" applyFont="1" applyBorder="1"/>
    <xf numFmtId="9" fontId="0" fillId="6" borderId="1" xfId="2" applyFont="1" applyFill="1" applyBorder="1"/>
    <xf numFmtId="166" fontId="0" fillId="6" borderId="1" xfId="1" applyNumberFormat="1" applyFont="1" applyFill="1" applyBorder="1"/>
    <xf numFmtId="164" fontId="0" fillId="0" borderId="1" xfId="0" applyNumberFormat="1" applyBorder="1"/>
    <xf numFmtId="2" fontId="0" fillId="0" borderId="1" xfId="0" applyNumberFormat="1" applyBorder="1"/>
    <xf numFmtId="2" fontId="0" fillId="6" borderId="1" xfId="0" applyNumberFormat="1" applyFill="1" applyBorder="1"/>
    <xf numFmtId="0" fontId="0" fillId="0" borderId="0" xfId="0" applyAlignment="1">
      <alignment wrapText="1"/>
    </xf>
    <xf numFmtId="0" fontId="0" fillId="0" borderId="6" xfId="0" applyBorder="1"/>
    <xf numFmtId="9" fontId="0" fillId="0" borderId="2" xfId="2" applyFont="1" applyBorder="1"/>
    <xf numFmtId="0" fontId="0" fillId="0" borderId="3" xfId="0" applyBorder="1"/>
    <xf numFmtId="9" fontId="0" fillId="0" borderId="3" xfId="2" applyFont="1" applyBorder="1"/>
    <xf numFmtId="0" fontId="0" fillId="7" borderId="0" xfId="0" applyFill="1"/>
    <xf numFmtId="0" fontId="0" fillId="3" borderId="1" xfId="0" applyFill="1" applyBorder="1" applyAlignment="1">
      <alignment wrapText="1"/>
    </xf>
    <xf numFmtId="0" fontId="4" fillId="8" borderId="0" xfId="0" applyFont="1" applyFill="1"/>
    <xf numFmtId="0" fontId="7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9" fontId="0" fillId="10" borderId="1" xfId="2" applyFont="1" applyFill="1" applyBorder="1"/>
    <xf numFmtId="0" fontId="0" fillId="11" borderId="1" xfId="0" applyFill="1" applyBorder="1" applyAlignment="1">
      <alignment horizontal="center" vertical="center" wrapText="1"/>
    </xf>
    <xf numFmtId="164" fontId="0" fillId="11" borderId="1" xfId="0" applyNumberForma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9" fontId="0" fillId="11" borderId="1" xfId="2" applyFont="1" applyFill="1" applyBorder="1"/>
    <xf numFmtId="164" fontId="0" fillId="0" borderId="0" xfId="0" applyNumberFormat="1"/>
    <xf numFmtId="9" fontId="0" fillId="0" borderId="0" xfId="2" applyFont="1"/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0" xfId="1" applyNumberFormat="1" applyFont="1" applyAlignment="1">
      <alignment horizontal="center" vertical="center"/>
    </xf>
    <xf numFmtId="167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9" fontId="0" fillId="12" borderId="1" xfId="2" applyFont="1" applyFill="1" applyBorder="1" applyAlignment="1">
      <alignment horizontal="center" vertical="center"/>
    </xf>
    <xf numFmtId="9" fontId="0" fillId="5" borderId="1" xfId="2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/>
    <xf numFmtId="4" fontId="0" fillId="0" borderId="0" xfId="0" applyNumberFormat="1"/>
    <xf numFmtId="10" fontId="0" fillId="0" borderId="1" xfId="2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9" fontId="0" fillId="0" borderId="0" xfId="2" applyFont="1" applyAlignment="1">
      <alignment horizontal="center" vertical="center"/>
    </xf>
    <xf numFmtId="168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8" fontId="1" fillId="3" borderId="1" xfId="0" applyNumberFormat="1" applyFont="1" applyFill="1" applyBorder="1" applyAlignment="1">
      <alignment horizontal="center" vertical="center"/>
    </xf>
    <xf numFmtId="168" fontId="0" fillId="0" borderId="1" xfId="3" applyNumberFormat="1" applyFont="1" applyBorder="1" applyAlignment="1">
      <alignment horizontal="center" vertical="center"/>
    </xf>
    <xf numFmtId="168" fontId="0" fillId="5" borderId="1" xfId="3" applyNumberFormat="1" applyFont="1" applyFill="1" applyBorder="1" applyAlignment="1">
      <alignment horizontal="center" vertical="center"/>
    </xf>
    <xf numFmtId="168" fontId="0" fillId="0" borderId="1" xfId="3" applyNumberFormat="1" applyFont="1" applyBorder="1"/>
    <xf numFmtId="168" fontId="0" fillId="0" borderId="1" xfId="3" applyNumberFormat="1" applyFont="1" applyFill="1" applyBorder="1" applyAlignment="1">
      <alignment horizontal="center" vertical="center"/>
    </xf>
    <xf numFmtId="168" fontId="0" fillId="0" borderId="1" xfId="0" applyNumberFormat="1" applyBorder="1"/>
    <xf numFmtId="168" fontId="0" fillId="6" borderId="1" xfId="0" applyNumberFormat="1" applyFill="1" applyBorder="1"/>
    <xf numFmtId="168" fontId="0" fillId="10" borderId="1" xfId="0" applyNumberFormat="1" applyFill="1" applyBorder="1" applyAlignment="1">
      <alignment horizontal="center" vertical="center"/>
    </xf>
    <xf numFmtId="168" fontId="0" fillId="11" borderId="1" xfId="0" applyNumberFormat="1" applyFill="1" applyBorder="1" applyAlignment="1">
      <alignment horizontal="center" vertical="center"/>
    </xf>
    <xf numFmtId="168" fontId="0" fillId="10" borderId="1" xfId="0" applyNumberFormat="1" applyFill="1" applyBorder="1"/>
    <xf numFmtId="168" fontId="0" fillId="11" borderId="1" xfId="0" applyNumberFormat="1" applyFill="1" applyBorder="1"/>
    <xf numFmtId="168" fontId="0" fillId="0" borderId="1" xfId="1" applyNumberFormat="1" applyFont="1" applyBorder="1"/>
    <xf numFmtId="168" fontId="0" fillId="9" borderId="1" xfId="0" applyNumberFormat="1" applyFill="1" applyBorder="1" applyAlignment="1">
      <alignment horizontal="center" vertical="center"/>
    </xf>
    <xf numFmtId="168" fontId="7" fillId="10" borderId="1" xfId="0" applyNumberFormat="1" applyFont="1" applyFill="1" applyBorder="1" applyAlignment="1">
      <alignment horizontal="center" vertical="center"/>
    </xf>
    <xf numFmtId="168" fontId="7" fillId="9" borderId="1" xfId="0" applyNumberFormat="1" applyFont="1" applyFill="1" applyBorder="1" applyAlignment="1">
      <alignment horizontal="center" vertical="center"/>
    </xf>
    <xf numFmtId="168" fontId="0" fillId="0" borderId="1" xfId="1" applyNumberFormat="1" applyFont="1" applyBorder="1" applyAlignment="1">
      <alignment horizontal="center" vertical="center"/>
    </xf>
    <xf numFmtId="168" fontId="0" fillId="0" borderId="0" xfId="0" applyNumberFormat="1"/>
    <xf numFmtId="164" fontId="4" fillId="12" borderId="0" xfId="0" applyNumberFormat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168" fontId="1" fillId="0" borderId="1" xfId="0" applyNumberFormat="1" applyFont="1" applyBorder="1"/>
    <xf numFmtId="0" fontId="1" fillId="0" borderId="0" xfId="0" applyFont="1"/>
    <xf numFmtId="0" fontId="10" fillId="0" borderId="0" xfId="0" applyFont="1" applyAlignment="1">
      <alignment horizontal="center" vertical="center"/>
    </xf>
    <xf numFmtId="169" fontId="0" fillId="0" borderId="0" xfId="0" applyNumberFormat="1" applyAlignment="1">
      <alignment horizontal="left"/>
    </xf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11</xdr:row>
      <xdr:rowOff>12700</xdr:rowOff>
    </xdr:from>
    <xdr:to>
      <xdr:col>8</xdr:col>
      <xdr:colOff>361950</xdr:colOff>
      <xdr:row>16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B81D36F-A076-445A-920F-B508D66F4058}"/>
            </a:ext>
          </a:extLst>
        </xdr:cNvPr>
        <xdr:cNvSpPr/>
      </xdr:nvSpPr>
      <xdr:spPr>
        <a:xfrm rot="16200000">
          <a:off x="5670550" y="2362200"/>
          <a:ext cx="9080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WACC</a:t>
          </a:r>
        </a:p>
        <a:p>
          <a:pPr algn="ctr"/>
          <a:endParaRPr lang="en-IN" sz="1100"/>
        </a:p>
        <a:p>
          <a:pPr algn="l"/>
          <a:endParaRPr lang="en-IN" sz="1100"/>
        </a:p>
      </xdr:txBody>
    </xdr:sp>
    <xdr:clientData/>
  </xdr:twoCellAnchor>
  <xdr:twoCellAnchor>
    <xdr:from>
      <xdr:col>9</xdr:col>
      <xdr:colOff>12700</xdr:colOff>
      <xdr:row>8</xdr:row>
      <xdr:rowOff>88900</xdr:rowOff>
    </xdr:from>
    <xdr:to>
      <xdr:col>14</xdr:col>
      <xdr:colOff>0</xdr:colOff>
      <xdr:row>10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FCC31D3-BBD8-4F0D-A890-D11EBD3B97F8}"/>
            </a:ext>
          </a:extLst>
        </xdr:cNvPr>
        <xdr:cNvSpPr/>
      </xdr:nvSpPr>
      <xdr:spPr>
        <a:xfrm>
          <a:off x="7181850" y="1562100"/>
          <a:ext cx="35115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Terminal</a:t>
          </a:r>
          <a:r>
            <a:rPr lang="en-IN" sz="1100" baseline="0"/>
            <a:t> Growth</a:t>
          </a:r>
          <a:endParaRPr lang="en-IN" sz="1100"/>
        </a:p>
        <a:p>
          <a:pPr algn="ctr"/>
          <a:endParaRPr lang="en-IN" sz="1100"/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797-5E35-461D-A94D-51AD43AAD449}">
  <dimension ref="B2:F14"/>
  <sheetViews>
    <sheetView showGridLines="0" workbookViewId="0">
      <selection activeCell="G5" sqref="G5"/>
    </sheetView>
  </sheetViews>
  <sheetFormatPr defaultRowHeight="14.4" x14ac:dyDescent="0.3"/>
  <cols>
    <col min="2" max="2" width="16.6640625" bestFit="1" customWidth="1"/>
    <col min="3" max="3" width="9.44140625" bestFit="1" customWidth="1"/>
  </cols>
  <sheetData>
    <row r="2" spans="2:6" ht="23.4" x14ac:dyDescent="0.3">
      <c r="F2" s="99" t="s">
        <v>207</v>
      </c>
    </row>
    <row r="4" spans="2:6" ht="15.6" x14ac:dyDescent="0.3">
      <c r="B4" s="101" t="s">
        <v>213</v>
      </c>
      <c r="C4" t="s">
        <v>210</v>
      </c>
    </row>
    <row r="5" spans="2:6" ht="15.6" x14ac:dyDescent="0.3">
      <c r="B5" s="102" t="s">
        <v>208</v>
      </c>
      <c r="C5" t="s">
        <v>209</v>
      </c>
    </row>
    <row r="6" spans="2:6" x14ac:dyDescent="0.3">
      <c r="B6" s="98" t="s">
        <v>211</v>
      </c>
      <c r="C6" s="100">
        <v>4884</v>
      </c>
    </row>
    <row r="7" spans="2:6" x14ac:dyDescent="0.3">
      <c r="B7" s="98" t="s">
        <v>212</v>
      </c>
      <c r="C7" s="100">
        <v>338</v>
      </c>
    </row>
    <row r="8" spans="2:6" x14ac:dyDescent="0.3">
      <c r="B8" s="98" t="s">
        <v>189</v>
      </c>
    </row>
    <row r="9" spans="2:6" x14ac:dyDescent="0.3">
      <c r="B9" t="s">
        <v>190</v>
      </c>
      <c r="C9" t="s">
        <v>191</v>
      </c>
    </row>
    <row r="10" spans="2:6" x14ac:dyDescent="0.3">
      <c r="B10" t="s">
        <v>193</v>
      </c>
      <c r="C10" t="s">
        <v>192</v>
      </c>
    </row>
    <row r="11" spans="2:6" x14ac:dyDescent="0.3">
      <c r="B11" t="s">
        <v>194</v>
      </c>
      <c r="C11" t="s">
        <v>195</v>
      </c>
    </row>
    <row r="12" spans="2:6" x14ac:dyDescent="0.3">
      <c r="B12" t="s">
        <v>196</v>
      </c>
      <c r="C12" t="s">
        <v>197</v>
      </c>
    </row>
    <row r="13" spans="2:6" x14ac:dyDescent="0.3">
      <c r="B13" t="s">
        <v>198</v>
      </c>
      <c r="C13" t="s">
        <v>199</v>
      </c>
    </row>
    <row r="14" spans="2:6" x14ac:dyDescent="0.3">
      <c r="B14" t="s">
        <v>200</v>
      </c>
      <c r="C1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6B6B-AC84-402B-A75E-4304451B4468}">
  <dimension ref="B2:M46"/>
  <sheetViews>
    <sheetView showGridLines="0" tabSelected="1" zoomScaleNormal="100" workbookViewId="0">
      <pane xSplit="4" ySplit="2" topLeftCell="E15" activePane="bottomRight" state="frozen"/>
      <selection pane="topRight" activeCell="E1" sqref="E1"/>
      <selection pane="bottomLeft" activeCell="A4" sqref="A4"/>
      <selection pane="bottomRight" activeCell="M24" sqref="M24"/>
    </sheetView>
  </sheetViews>
  <sheetFormatPr defaultColWidth="9.21875" defaultRowHeight="14.4" x14ac:dyDescent="0.3"/>
  <cols>
    <col min="1" max="1" width="9.21875" style="1"/>
    <col min="2" max="2" width="11.21875" style="1" bestFit="1" customWidth="1"/>
    <col min="3" max="3" width="23.77734375" style="1" bestFit="1" customWidth="1"/>
    <col min="4" max="4" width="45" style="1" bestFit="1" customWidth="1"/>
    <col min="5" max="10" width="10.44140625" style="1" bestFit="1" customWidth="1"/>
    <col min="11" max="11" width="20.77734375" style="6" bestFit="1" customWidth="1"/>
    <col min="12" max="12" width="9.21875" style="1"/>
    <col min="13" max="13" width="10.44140625" style="1" bestFit="1" customWidth="1"/>
    <col min="14" max="16384" width="9.21875" style="1"/>
  </cols>
  <sheetData>
    <row r="2" spans="2:11" x14ac:dyDescent="0.3">
      <c r="D2" s="14" t="s">
        <v>204</v>
      </c>
      <c r="E2" s="14">
        <v>2019</v>
      </c>
      <c r="F2" s="14">
        <v>2020</v>
      </c>
      <c r="G2" s="14">
        <v>2021</v>
      </c>
      <c r="H2" s="14">
        <v>2022</v>
      </c>
      <c r="I2" s="14">
        <v>2023</v>
      </c>
      <c r="J2" s="14">
        <v>2024</v>
      </c>
      <c r="K2" s="8" t="s">
        <v>4</v>
      </c>
    </row>
    <row r="3" spans="2:11" x14ac:dyDescent="0.3">
      <c r="B3" s="107" t="s">
        <v>0</v>
      </c>
      <c r="C3" s="106" t="s">
        <v>1</v>
      </c>
      <c r="D3" s="7" t="s">
        <v>3</v>
      </c>
      <c r="E3" s="74">
        <v>1742.07</v>
      </c>
      <c r="F3" s="74">
        <v>2662.12</v>
      </c>
      <c r="G3" s="74">
        <v>2564.11</v>
      </c>
      <c r="H3" s="74">
        <v>2791.81</v>
      </c>
      <c r="I3" s="74">
        <v>3105.88</v>
      </c>
      <c r="J3" s="74">
        <v>3734.96</v>
      </c>
      <c r="K3" s="8" t="s">
        <v>5</v>
      </c>
    </row>
    <row r="4" spans="2:11" x14ac:dyDescent="0.3">
      <c r="B4" s="107"/>
      <c r="C4" s="106"/>
      <c r="D4" s="7" t="s">
        <v>6</v>
      </c>
      <c r="E4" s="74">
        <v>9.81</v>
      </c>
      <c r="F4" s="74">
        <v>16.59</v>
      </c>
      <c r="G4" s="74">
        <v>50.37</v>
      </c>
      <c r="H4" s="74">
        <v>23.22</v>
      </c>
      <c r="I4" s="74">
        <v>194.93</v>
      </c>
      <c r="J4" s="74">
        <v>22.17</v>
      </c>
      <c r="K4" s="8" t="s">
        <v>5</v>
      </c>
    </row>
    <row r="5" spans="2:11" x14ac:dyDescent="0.3">
      <c r="B5" s="107"/>
      <c r="C5" s="106"/>
      <c r="D5" s="7" t="s">
        <v>8</v>
      </c>
      <c r="E5" s="74">
        <v>75.3</v>
      </c>
      <c r="F5" s="74">
        <v>111.82</v>
      </c>
      <c r="G5" s="74">
        <v>118.05</v>
      </c>
      <c r="H5" s="74">
        <v>211.39</v>
      </c>
      <c r="I5" s="74">
        <v>217.46</v>
      </c>
      <c r="J5" s="74">
        <v>328.6</v>
      </c>
      <c r="K5" s="8" t="s">
        <v>5</v>
      </c>
    </row>
    <row r="6" spans="2:11" x14ac:dyDescent="0.3">
      <c r="B6" s="107"/>
      <c r="C6" s="106"/>
      <c r="D6" s="7" t="s">
        <v>170</v>
      </c>
      <c r="E6" s="74">
        <v>1718.87</v>
      </c>
      <c r="F6" s="74">
        <v>1610.12</v>
      </c>
      <c r="G6" s="74">
        <v>1621.73</v>
      </c>
      <c r="H6" s="74">
        <v>1576.92</v>
      </c>
      <c r="I6" s="74">
        <v>1769.25</v>
      </c>
      <c r="J6" s="74">
        <v>1636.57</v>
      </c>
      <c r="K6" s="8" t="s">
        <v>5</v>
      </c>
    </row>
    <row r="7" spans="2:11" x14ac:dyDescent="0.3">
      <c r="B7" s="107"/>
      <c r="C7" s="106"/>
      <c r="D7" s="7" t="s">
        <v>169</v>
      </c>
      <c r="E7" s="74">
        <v>12284.35</v>
      </c>
      <c r="F7" s="74">
        <v>12322.66</v>
      </c>
      <c r="G7" s="74">
        <v>11413.21</v>
      </c>
      <c r="H7" s="74">
        <v>11646.63</v>
      </c>
      <c r="I7" s="74">
        <v>11395.11</v>
      </c>
      <c r="J7" s="74">
        <v>10678.81</v>
      </c>
      <c r="K7" s="8" t="s">
        <v>10</v>
      </c>
    </row>
    <row r="8" spans="2:11" x14ac:dyDescent="0.3">
      <c r="B8" s="107"/>
      <c r="C8" s="106"/>
      <c r="D8" s="7" t="s">
        <v>167</v>
      </c>
      <c r="E8" s="74">
        <v>538.41</v>
      </c>
      <c r="F8" s="74">
        <v>380.03</v>
      </c>
      <c r="G8" s="74">
        <v>383.23</v>
      </c>
      <c r="H8" s="74">
        <v>410.24</v>
      </c>
      <c r="I8" s="74">
        <v>513.49</v>
      </c>
      <c r="J8" s="74">
        <v>757.01</v>
      </c>
      <c r="K8" s="8" t="s">
        <v>10</v>
      </c>
    </row>
    <row r="9" spans="2:11" x14ac:dyDescent="0.3">
      <c r="B9" s="107"/>
      <c r="C9" s="106"/>
      <c r="D9" s="7" t="s">
        <v>9</v>
      </c>
      <c r="E9" s="74">
        <v>607.41999999999996</v>
      </c>
      <c r="F9" s="74">
        <v>549.82000000000005</v>
      </c>
      <c r="G9" s="74">
        <v>549.82000000000005</v>
      </c>
      <c r="H9" s="74">
        <v>549.82000000000005</v>
      </c>
      <c r="I9" s="74">
        <v>366.27</v>
      </c>
      <c r="J9" s="74">
        <v>351.26</v>
      </c>
      <c r="K9" s="8" t="s">
        <v>10</v>
      </c>
    </row>
    <row r="10" spans="2:11" x14ac:dyDescent="0.3">
      <c r="B10" s="107"/>
      <c r="C10" s="106"/>
      <c r="D10" s="7" t="s">
        <v>168</v>
      </c>
      <c r="E10" s="74">
        <v>419.97</v>
      </c>
      <c r="F10" s="74">
        <v>446.45</v>
      </c>
      <c r="G10" s="74">
        <v>440.49</v>
      </c>
      <c r="H10" s="74">
        <v>410.23</v>
      </c>
      <c r="I10" s="74">
        <v>313.92</v>
      </c>
      <c r="J10" s="74">
        <v>295.94</v>
      </c>
      <c r="K10" s="8" t="s">
        <v>5</v>
      </c>
    </row>
    <row r="11" spans="2:11" x14ac:dyDescent="0.3">
      <c r="B11" s="107"/>
      <c r="C11" s="106"/>
      <c r="D11" s="7" t="s">
        <v>19</v>
      </c>
      <c r="E11" s="75">
        <v>216.71</v>
      </c>
      <c r="F11" s="75">
        <v>113.9</v>
      </c>
      <c r="G11" s="75">
        <v>120.48</v>
      </c>
      <c r="H11" s="75">
        <v>302.58</v>
      </c>
      <c r="I11" s="75">
        <v>385.58</v>
      </c>
      <c r="J11" s="75">
        <v>315.87</v>
      </c>
      <c r="K11" s="8" t="s">
        <v>10</v>
      </c>
    </row>
    <row r="12" spans="2:11" x14ac:dyDescent="0.3">
      <c r="B12" s="107"/>
      <c r="C12" s="106"/>
      <c r="D12" s="7" t="s">
        <v>22</v>
      </c>
      <c r="E12" s="74">
        <v>2049.5500000000002</v>
      </c>
      <c r="F12" s="74">
        <v>2450.27</v>
      </c>
      <c r="G12" s="74">
        <v>2406.7399999999998</v>
      </c>
      <c r="H12" s="74">
        <v>2911.03</v>
      </c>
      <c r="I12" s="74">
        <v>3906.72</v>
      </c>
      <c r="J12" s="74">
        <v>3269.46</v>
      </c>
      <c r="K12" s="8" t="s">
        <v>5</v>
      </c>
    </row>
    <row r="13" spans="2:11" x14ac:dyDescent="0.3">
      <c r="B13" s="107"/>
      <c r="C13" s="106"/>
      <c r="D13" s="7" t="s">
        <v>11</v>
      </c>
      <c r="E13" s="74">
        <v>1347.43</v>
      </c>
      <c r="F13" s="74">
        <v>1923.98</v>
      </c>
      <c r="G13" s="74">
        <v>1586.68</v>
      </c>
      <c r="H13" s="74">
        <v>2395.0300000000002</v>
      </c>
      <c r="I13" s="74">
        <v>2498.5100000000002</v>
      </c>
      <c r="J13" s="74">
        <v>2651.92</v>
      </c>
      <c r="K13" s="8" t="s">
        <v>5</v>
      </c>
    </row>
    <row r="14" spans="2:11" x14ac:dyDescent="0.3">
      <c r="B14" s="107"/>
      <c r="C14" s="106"/>
      <c r="D14" s="7" t="s">
        <v>12</v>
      </c>
      <c r="E14" s="74">
        <v>96.49</v>
      </c>
      <c r="F14" s="74">
        <v>14.7</v>
      </c>
      <c r="G14" s="74">
        <v>10.55</v>
      </c>
      <c r="H14" s="74">
        <v>31.83</v>
      </c>
      <c r="I14" s="74">
        <v>16.93</v>
      </c>
      <c r="J14" s="74">
        <v>43.15</v>
      </c>
      <c r="K14" s="8" t="s">
        <v>5</v>
      </c>
    </row>
    <row r="15" spans="2:11" x14ac:dyDescent="0.3">
      <c r="B15" s="107"/>
      <c r="D15" s="13" t="s">
        <v>13</v>
      </c>
      <c r="E15" s="76">
        <f>SUM(E3:E14)</f>
        <v>21106.38</v>
      </c>
      <c r="F15" s="76">
        <f t="shared" ref="F15:J15" si="0">SUM(F3:F14)</f>
        <v>22602.46</v>
      </c>
      <c r="G15" s="76">
        <f t="shared" si="0"/>
        <v>21265.460000000003</v>
      </c>
      <c r="H15" s="76">
        <f t="shared" si="0"/>
        <v>23260.73</v>
      </c>
      <c r="I15" s="76">
        <f t="shared" si="0"/>
        <v>24684.050000000003</v>
      </c>
      <c r="J15" s="76">
        <f t="shared" si="0"/>
        <v>24085.719999999994</v>
      </c>
      <c r="K15" s="8"/>
    </row>
    <row r="16" spans="2:11" x14ac:dyDescent="0.3">
      <c r="B16" s="107"/>
      <c r="C16" s="103" t="s">
        <v>14</v>
      </c>
      <c r="D16" s="7" t="s">
        <v>15</v>
      </c>
      <c r="E16" s="75">
        <v>253.61</v>
      </c>
      <c r="F16" s="75">
        <v>338.59</v>
      </c>
      <c r="G16" s="75">
        <v>308.93</v>
      </c>
      <c r="H16" s="75">
        <v>340.25</v>
      </c>
      <c r="I16" s="75">
        <v>314.27999999999997</v>
      </c>
      <c r="J16" s="75">
        <v>309.02999999999997</v>
      </c>
      <c r="K16" s="8" t="s">
        <v>5</v>
      </c>
    </row>
    <row r="17" spans="2:13" x14ac:dyDescent="0.3">
      <c r="B17" s="107"/>
      <c r="C17" s="104"/>
      <c r="D17" s="7" t="s">
        <v>9</v>
      </c>
      <c r="E17" s="75">
        <v>68.209999999999994</v>
      </c>
      <c r="F17" s="75">
        <v>1.18</v>
      </c>
      <c r="G17" s="75">
        <v>2.38</v>
      </c>
      <c r="H17" s="75">
        <v>2.93</v>
      </c>
      <c r="I17" s="75">
        <v>103.22</v>
      </c>
      <c r="J17" s="75">
        <v>55.55</v>
      </c>
      <c r="K17" s="8" t="s">
        <v>10</v>
      </c>
    </row>
    <row r="18" spans="2:13" x14ac:dyDescent="0.3">
      <c r="B18" s="107"/>
      <c r="C18" s="104"/>
      <c r="D18" s="7" t="s">
        <v>16</v>
      </c>
      <c r="E18" s="75">
        <v>9529.61</v>
      </c>
      <c r="F18" s="75">
        <v>11749.68</v>
      </c>
      <c r="G18" s="75">
        <v>12430.13</v>
      </c>
      <c r="H18" s="75">
        <v>13912.96</v>
      </c>
      <c r="I18" s="75">
        <v>16777.060000000001</v>
      </c>
      <c r="J18" s="75">
        <v>18858.46</v>
      </c>
      <c r="K18" s="8" t="s">
        <v>5</v>
      </c>
    </row>
    <row r="19" spans="2:13" x14ac:dyDescent="0.3">
      <c r="B19" s="107"/>
      <c r="C19" s="104"/>
      <c r="D19" s="7" t="s">
        <v>17</v>
      </c>
      <c r="E19" s="75">
        <v>4197.33</v>
      </c>
      <c r="F19" s="75">
        <v>4171.26</v>
      </c>
      <c r="G19" s="75">
        <v>8542.76</v>
      </c>
      <c r="H19" s="75">
        <v>6840.15</v>
      </c>
      <c r="I19" s="75">
        <v>6656.18</v>
      </c>
      <c r="J19" s="75">
        <v>6514.82</v>
      </c>
      <c r="K19" s="8" t="s">
        <v>5</v>
      </c>
    </row>
    <row r="20" spans="2:13" x14ac:dyDescent="0.3">
      <c r="B20" s="107"/>
      <c r="C20" s="104"/>
      <c r="D20" s="7" t="s">
        <v>18</v>
      </c>
      <c r="E20" s="75">
        <v>1231.46</v>
      </c>
      <c r="F20" s="75">
        <v>1965.99</v>
      </c>
      <c r="G20" s="75">
        <v>2337.61</v>
      </c>
      <c r="H20" s="75">
        <v>543.94000000000005</v>
      </c>
      <c r="I20" s="75">
        <v>853.5</v>
      </c>
      <c r="J20" s="75">
        <v>890.41</v>
      </c>
      <c r="K20" s="8" t="s">
        <v>5</v>
      </c>
    </row>
    <row r="21" spans="2:13" x14ac:dyDescent="0.3">
      <c r="B21" s="107"/>
      <c r="C21" s="104"/>
      <c r="D21" s="7" t="s">
        <v>19</v>
      </c>
      <c r="E21" s="75">
        <v>4951.8900000000003</v>
      </c>
      <c r="F21" s="75">
        <v>4633.8500000000004</v>
      </c>
      <c r="G21" s="75">
        <v>4330.66</v>
      </c>
      <c r="H21" s="75">
        <v>5115.82</v>
      </c>
      <c r="I21" s="75">
        <v>6407.88</v>
      </c>
      <c r="J21" s="75">
        <v>7530.04</v>
      </c>
      <c r="K21" s="8" t="s">
        <v>5</v>
      </c>
    </row>
    <row r="22" spans="2:13" x14ac:dyDescent="0.3">
      <c r="B22" s="107"/>
      <c r="C22" s="105"/>
      <c r="D22" s="7" t="s">
        <v>20</v>
      </c>
      <c r="E22" s="75">
        <v>904.66</v>
      </c>
      <c r="F22" s="75">
        <v>1058.22</v>
      </c>
      <c r="G22" s="75">
        <v>1180.3</v>
      </c>
      <c r="H22" s="75">
        <v>945.87</v>
      </c>
      <c r="I22" s="75">
        <v>1330.87</v>
      </c>
      <c r="J22" s="75">
        <v>1487.03</v>
      </c>
      <c r="K22" s="8" t="s">
        <v>5</v>
      </c>
    </row>
    <row r="23" spans="2:13" x14ac:dyDescent="0.3">
      <c r="B23" s="107"/>
      <c r="C23" s="54"/>
      <c r="D23" s="13" t="s">
        <v>23</v>
      </c>
      <c r="E23" s="76">
        <f t="shared" ref="E23:J23" si="1">SUM(E16:E22)</f>
        <v>21136.77</v>
      </c>
      <c r="F23" s="76">
        <f t="shared" si="1"/>
        <v>23918.770000000004</v>
      </c>
      <c r="G23" s="76">
        <f t="shared" si="1"/>
        <v>29132.769999999997</v>
      </c>
      <c r="H23" s="76">
        <f t="shared" si="1"/>
        <v>27701.919999999998</v>
      </c>
      <c r="I23" s="76">
        <f t="shared" si="1"/>
        <v>32442.99</v>
      </c>
      <c r="J23" s="76">
        <f t="shared" si="1"/>
        <v>35645.339999999997</v>
      </c>
      <c r="K23" s="8"/>
    </row>
    <row r="24" spans="2:13" x14ac:dyDescent="0.3">
      <c r="D24" s="4" t="s">
        <v>39</v>
      </c>
      <c r="E24" s="77">
        <f t="shared" ref="E24:J24" si="2">E15+E23</f>
        <v>42243.15</v>
      </c>
      <c r="F24" s="77">
        <f t="shared" si="2"/>
        <v>46521.23</v>
      </c>
      <c r="G24" s="77">
        <f t="shared" si="2"/>
        <v>50398.229999999996</v>
      </c>
      <c r="H24" s="77">
        <f t="shared" si="2"/>
        <v>50962.649999999994</v>
      </c>
      <c r="I24" s="77">
        <f t="shared" si="2"/>
        <v>57127.040000000008</v>
      </c>
      <c r="J24" s="77">
        <f t="shared" si="2"/>
        <v>59731.05999999999</v>
      </c>
      <c r="K24" s="8"/>
    </row>
    <row r="25" spans="2:13" x14ac:dyDescent="0.3">
      <c r="K25" s="8"/>
    </row>
    <row r="26" spans="2:13" x14ac:dyDescent="0.3">
      <c r="B26" s="107" t="s">
        <v>32</v>
      </c>
      <c r="C26" s="103" t="s">
        <v>24</v>
      </c>
      <c r="D26" s="7" t="s">
        <v>25</v>
      </c>
      <c r="E26" s="75">
        <v>733.13</v>
      </c>
      <c r="F26" s="75">
        <v>733.19</v>
      </c>
      <c r="G26" s="75">
        <v>741.51</v>
      </c>
      <c r="H26" s="75">
        <v>735.16</v>
      </c>
      <c r="I26" s="75">
        <v>728.65</v>
      </c>
      <c r="J26" s="75">
        <v>720.5</v>
      </c>
      <c r="K26" s="8" t="s">
        <v>10</v>
      </c>
    </row>
    <row r="27" spans="2:13" x14ac:dyDescent="0.3">
      <c r="B27" s="107"/>
      <c r="C27" s="104"/>
      <c r="D27" s="7" t="s">
        <v>26</v>
      </c>
      <c r="E27" s="75">
        <v>11765.8</v>
      </c>
      <c r="F27" s="75">
        <v>13151</v>
      </c>
      <c r="G27" s="75">
        <v>17566.12</v>
      </c>
      <c r="H27" s="75">
        <v>19977.36</v>
      </c>
      <c r="I27" s="75">
        <v>22604.28</v>
      </c>
      <c r="J27" s="75">
        <v>23414.87</v>
      </c>
      <c r="K27" s="8" t="s">
        <v>10</v>
      </c>
      <c r="M27" s="114"/>
    </row>
    <row r="28" spans="2:13" x14ac:dyDescent="0.3">
      <c r="B28" s="107"/>
      <c r="C28" s="104"/>
      <c r="D28" s="7" t="s">
        <v>27</v>
      </c>
      <c r="E28" s="75">
        <v>3.45</v>
      </c>
      <c r="F28" s="75">
        <v>3.02</v>
      </c>
      <c r="G28" s="75">
        <v>20.73</v>
      </c>
      <c r="H28" s="75">
        <v>30.61</v>
      </c>
      <c r="I28" s="75">
        <v>0</v>
      </c>
      <c r="J28" s="75">
        <v>0</v>
      </c>
      <c r="K28" s="8" t="s">
        <v>10</v>
      </c>
      <c r="M28" s="114"/>
    </row>
    <row r="29" spans="2:13" x14ac:dyDescent="0.3">
      <c r="B29" s="107"/>
      <c r="C29" s="104"/>
      <c r="D29" s="7" t="s">
        <v>28</v>
      </c>
      <c r="E29" s="75">
        <v>6141.6</v>
      </c>
      <c r="F29" s="75">
        <v>6298.66</v>
      </c>
      <c r="G29" s="75">
        <v>7420.78</v>
      </c>
      <c r="H29" s="75">
        <v>6068.8</v>
      </c>
      <c r="I29" s="75">
        <v>8031.84</v>
      </c>
      <c r="J29" s="75">
        <v>2300.5</v>
      </c>
      <c r="K29" s="8" t="s">
        <v>5</v>
      </c>
    </row>
    <row r="30" spans="2:13" x14ac:dyDescent="0.3">
      <c r="B30" s="107"/>
      <c r="C30" s="104"/>
      <c r="D30" s="7" t="s">
        <v>36</v>
      </c>
      <c r="E30" s="75">
        <v>7760.19</v>
      </c>
      <c r="F30" s="75">
        <v>5502.84</v>
      </c>
      <c r="G30" s="75">
        <v>914.21</v>
      </c>
      <c r="H30" s="75">
        <v>900.08</v>
      </c>
      <c r="I30" s="75">
        <v>973.95</v>
      </c>
      <c r="J30" s="75">
        <v>1105.5999999999999</v>
      </c>
      <c r="K30" s="8" t="s">
        <v>10</v>
      </c>
    </row>
    <row r="31" spans="2:13" x14ac:dyDescent="0.3">
      <c r="B31" s="107"/>
      <c r="C31" s="104"/>
      <c r="D31" s="7" t="s">
        <v>29</v>
      </c>
      <c r="E31" s="75">
        <v>1193.8900000000001</v>
      </c>
      <c r="F31" s="75">
        <v>1176.0899999999999</v>
      </c>
      <c r="G31" s="75">
        <v>1413.85</v>
      </c>
      <c r="H31" s="75">
        <v>1699.61</v>
      </c>
      <c r="I31" s="75">
        <v>1749.64</v>
      </c>
      <c r="J31" s="75">
        <v>1971.33</v>
      </c>
      <c r="K31" s="8" t="s">
        <v>5</v>
      </c>
    </row>
    <row r="32" spans="2:13" x14ac:dyDescent="0.3">
      <c r="B32" s="107"/>
      <c r="C32" s="104"/>
      <c r="D32" s="7" t="s">
        <v>30</v>
      </c>
      <c r="E32" s="75">
        <v>350.81</v>
      </c>
      <c r="F32" s="75">
        <v>518.61</v>
      </c>
      <c r="G32" s="75">
        <v>475.07</v>
      </c>
      <c r="H32" s="75">
        <v>369.93</v>
      </c>
      <c r="I32" s="75">
        <v>430.4</v>
      </c>
      <c r="J32" s="75">
        <v>351.16</v>
      </c>
      <c r="K32" s="8" t="s">
        <v>33</v>
      </c>
    </row>
    <row r="33" spans="2:11" x14ac:dyDescent="0.3">
      <c r="B33" s="107"/>
      <c r="C33" s="7"/>
      <c r="D33" s="3" t="s">
        <v>31</v>
      </c>
      <c r="E33" s="76">
        <f t="shared" ref="E33:J33" si="3">SUM(E26:E32)</f>
        <v>27948.87</v>
      </c>
      <c r="F33" s="76">
        <f t="shared" si="3"/>
        <v>27383.410000000003</v>
      </c>
      <c r="G33" s="76">
        <f t="shared" si="3"/>
        <v>28552.269999999993</v>
      </c>
      <c r="H33" s="76">
        <f t="shared" si="3"/>
        <v>29781.550000000003</v>
      </c>
      <c r="I33" s="76">
        <f t="shared" si="3"/>
        <v>34518.76</v>
      </c>
      <c r="J33" s="76">
        <f t="shared" si="3"/>
        <v>29863.959999999995</v>
      </c>
      <c r="K33" s="8"/>
    </row>
    <row r="34" spans="2:11" x14ac:dyDescent="0.3">
      <c r="B34" s="107"/>
      <c r="C34" s="103" t="s">
        <v>34</v>
      </c>
      <c r="D34" s="7" t="s">
        <v>28</v>
      </c>
      <c r="E34" s="75">
        <v>3355.99</v>
      </c>
      <c r="F34" s="75">
        <v>5422.9</v>
      </c>
      <c r="G34" s="75">
        <v>4224.76</v>
      </c>
      <c r="H34" s="75">
        <v>7539.25</v>
      </c>
      <c r="I34" s="75">
        <v>7521.83</v>
      </c>
      <c r="J34" s="75">
        <v>13178.73</v>
      </c>
      <c r="K34" s="8" t="s">
        <v>5</v>
      </c>
    </row>
    <row r="35" spans="2:11" x14ac:dyDescent="0.3">
      <c r="B35" s="107"/>
      <c r="C35" s="104"/>
      <c r="D35" s="7" t="s">
        <v>35</v>
      </c>
      <c r="E35" s="75">
        <v>661.42</v>
      </c>
      <c r="F35" s="75">
        <v>538.04999999999995</v>
      </c>
      <c r="G35" s="75">
        <v>661.47</v>
      </c>
      <c r="H35" s="75">
        <v>582.61</v>
      </c>
      <c r="I35" s="75">
        <v>639.08000000000004</v>
      </c>
      <c r="J35" s="75">
        <v>846.89</v>
      </c>
      <c r="K35" s="8" t="s">
        <v>5</v>
      </c>
    </row>
    <row r="36" spans="2:11" x14ac:dyDescent="0.3">
      <c r="B36" s="107"/>
      <c r="C36" s="104"/>
      <c r="D36" s="7" t="s">
        <v>36</v>
      </c>
      <c r="E36" s="75">
        <v>6344.29</v>
      </c>
      <c r="F36" s="75">
        <v>8667.18</v>
      </c>
      <c r="G36" s="75">
        <v>11198.56</v>
      </c>
      <c r="H36" s="75">
        <v>7449</v>
      </c>
      <c r="I36" s="75">
        <v>8521.48</v>
      </c>
      <c r="J36" s="75">
        <v>9776.8799999999992</v>
      </c>
      <c r="K36" s="8" t="s">
        <v>10</v>
      </c>
    </row>
    <row r="37" spans="2:11" x14ac:dyDescent="0.3">
      <c r="B37" s="107"/>
      <c r="C37" s="104"/>
      <c r="D37" s="7" t="s">
        <v>37</v>
      </c>
      <c r="E37" s="75">
        <v>1345.17</v>
      </c>
      <c r="F37" s="75">
        <v>1622.18</v>
      </c>
      <c r="G37" s="75">
        <v>1563.22</v>
      </c>
      <c r="H37" s="75">
        <v>1745.15</v>
      </c>
      <c r="I37" s="75">
        <v>1964.86</v>
      </c>
      <c r="J37" s="75">
        <v>1967.5</v>
      </c>
      <c r="K37" s="8" t="s">
        <v>10</v>
      </c>
    </row>
    <row r="38" spans="2:11" x14ac:dyDescent="0.3">
      <c r="B38" s="107"/>
      <c r="C38" s="104"/>
      <c r="D38" s="7" t="s">
        <v>29</v>
      </c>
      <c r="E38" s="75">
        <v>2412.5500000000002</v>
      </c>
      <c r="F38" s="75">
        <v>2577.7399999999998</v>
      </c>
      <c r="G38" s="75">
        <v>3689.43</v>
      </c>
      <c r="H38" s="75">
        <v>3857.94</v>
      </c>
      <c r="I38" s="75">
        <v>3958.21</v>
      </c>
      <c r="J38" s="75">
        <v>4091.03</v>
      </c>
      <c r="K38" s="8" t="s">
        <v>5</v>
      </c>
    </row>
    <row r="39" spans="2:11" x14ac:dyDescent="0.3">
      <c r="B39" s="107"/>
      <c r="C39" s="105"/>
      <c r="D39" s="7" t="s">
        <v>153</v>
      </c>
      <c r="E39" s="75">
        <v>174.86</v>
      </c>
      <c r="F39" s="75">
        <v>309.77</v>
      </c>
      <c r="G39" s="75">
        <v>508.52</v>
      </c>
      <c r="H39" s="75">
        <v>7.15</v>
      </c>
      <c r="I39" s="75">
        <v>2.82</v>
      </c>
      <c r="J39" s="75">
        <v>6.07</v>
      </c>
      <c r="K39" s="8" t="s">
        <v>5</v>
      </c>
    </row>
    <row r="40" spans="2:11" x14ac:dyDescent="0.3">
      <c r="B40" s="107"/>
      <c r="C40" s="7"/>
      <c r="D40" s="3" t="s">
        <v>38</v>
      </c>
      <c r="E40" s="76">
        <f t="shared" ref="E40:J40" si="4">SUM(E34:E39)</f>
        <v>14294.280000000002</v>
      </c>
      <c r="F40" s="76">
        <f t="shared" si="4"/>
        <v>19137.820000000003</v>
      </c>
      <c r="G40" s="76">
        <f t="shared" si="4"/>
        <v>21845.960000000003</v>
      </c>
      <c r="H40" s="76">
        <f t="shared" si="4"/>
        <v>21181.100000000002</v>
      </c>
      <c r="I40" s="76">
        <f t="shared" si="4"/>
        <v>22608.28</v>
      </c>
      <c r="J40" s="76">
        <f t="shared" si="4"/>
        <v>29867.1</v>
      </c>
      <c r="K40" s="8"/>
    </row>
    <row r="41" spans="2:11" x14ac:dyDescent="0.3">
      <c r="D41" s="5" t="s">
        <v>40</v>
      </c>
      <c r="E41" s="77">
        <f t="shared" ref="E41:J41" si="5">E33+E40</f>
        <v>42243.15</v>
      </c>
      <c r="F41" s="77">
        <f t="shared" si="5"/>
        <v>46521.23000000001</v>
      </c>
      <c r="G41" s="77">
        <f t="shared" si="5"/>
        <v>50398.229999999996</v>
      </c>
      <c r="H41" s="77">
        <f t="shared" si="5"/>
        <v>50962.650000000009</v>
      </c>
      <c r="I41" s="77">
        <f>I33+I40</f>
        <v>57127.040000000001</v>
      </c>
      <c r="J41" s="77">
        <f t="shared" si="5"/>
        <v>59731.06</v>
      </c>
      <c r="K41" s="8"/>
    </row>
    <row r="43" spans="2:11" x14ac:dyDescent="0.3">
      <c r="E43" s="70"/>
      <c r="F43" s="70"/>
      <c r="G43" s="70"/>
      <c r="H43" s="70"/>
      <c r="I43" s="70"/>
      <c r="J43" s="70"/>
    </row>
    <row r="44" spans="2:11" x14ac:dyDescent="0.3">
      <c r="E44"/>
      <c r="F44" s="68"/>
      <c r="G44" s="68"/>
      <c r="H44"/>
      <c r="I44"/>
      <c r="J44"/>
    </row>
    <row r="46" spans="2:11" x14ac:dyDescent="0.3">
      <c r="E46" s="73"/>
      <c r="F46" s="73"/>
      <c r="G46" s="73"/>
      <c r="H46" s="73"/>
      <c r="I46" s="73"/>
      <c r="J46" s="73"/>
    </row>
  </sheetData>
  <mergeCells count="6">
    <mergeCell ref="C26:C32"/>
    <mergeCell ref="C34:C39"/>
    <mergeCell ref="C3:C14"/>
    <mergeCell ref="B3:B23"/>
    <mergeCell ref="B26:B40"/>
    <mergeCell ref="C16:C22"/>
  </mergeCells>
  <pageMargins left="0.7" right="0.7" top="0.75" bottom="0.75" header="0.3" footer="0.3"/>
  <pageSetup orientation="portrait" r:id="rId1"/>
  <ignoredErrors>
    <ignoredError sqref="E1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E655-B16F-4E91-8516-3834FB682514}">
  <dimension ref="A2:N61"/>
  <sheetViews>
    <sheetView showGridLines="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9.21875" defaultRowHeight="14.4" x14ac:dyDescent="0.3"/>
  <cols>
    <col min="1" max="1" width="12.109375" style="1" bestFit="1" customWidth="1"/>
    <col min="2" max="2" width="17.88671875" style="1" bestFit="1" customWidth="1"/>
    <col min="3" max="3" width="38.44140625" style="1" bestFit="1" customWidth="1"/>
    <col min="4" max="6" width="12" style="1" bestFit="1" customWidth="1"/>
    <col min="7" max="7" width="12.77734375" style="1" bestFit="1" customWidth="1"/>
    <col min="8" max="9" width="13.5546875" style="1" bestFit="1" customWidth="1"/>
    <col min="10" max="14" width="8.77734375" style="1" bestFit="1" customWidth="1"/>
    <col min="15" max="16384" width="9.21875" style="1"/>
  </cols>
  <sheetData>
    <row r="2" spans="2:9" x14ac:dyDescent="0.3">
      <c r="B2" s="65" t="s">
        <v>4</v>
      </c>
      <c r="C2" s="9" t="s">
        <v>2</v>
      </c>
      <c r="D2" s="9">
        <v>2019</v>
      </c>
      <c r="E2" s="9">
        <v>2020</v>
      </c>
      <c r="F2" s="9">
        <v>2021</v>
      </c>
      <c r="G2" s="9">
        <v>2022</v>
      </c>
      <c r="H2" s="9">
        <v>2023</v>
      </c>
      <c r="I2" s="9">
        <v>2024</v>
      </c>
    </row>
    <row r="3" spans="2:9" x14ac:dyDescent="0.3">
      <c r="B3" s="64" t="s">
        <v>5</v>
      </c>
      <c r="C3" s="7" t="s">
        <v>41</v>
      </c>
      <c r="D3" s="78">
        <v>70932.73</v>
      </c>
      <c r="E3" s="78">
        <v>84851.66</v>
      </c>
      <c r="F3" s="78">
        <v>91273.04</v>
      </c>
      <c r="G3" s="78">
        <v>100590.76</v>
      </c>
      <c r="H3" s="78">
        <v>113457.8</v>
      </c>
      <c r="I3" s="78">
        <v>122614.25</v>
      </c>
    </row>
    <row r="4" spans="2:9" x14ac:dyDescent="0.3">
      <c r="B4" s="64" t="s">
        <v>5</v>
      </c>
      <c r="C4" s="7" t="s">
        <v>43</v>
      </c>
      <c r="D4" s="78">
        <f>-(259.83+475.05-108.43)</f>
        <v>-626.45000000000005</v>
      </c>
      <c r="E4" s="78">
        <f>-(256.18+618.21-42.07)</f>
        <v>-832.32</v>
      </c>
      <c r="F4" s="78">
        <f>-(314.56 +456.32+ 29.66)</f>
        <v>-800.54</v>
      </c>
      <c r="G4" s="78">
        <f>-(398.5+429.03-31.32)</f>
        <v>-796.20999999999992</v>
      </c>
      <c r="H4" s="78">
        <f>-(583.38+460.57+24.71)</f>
        <v>-1068.6600000000001</v>
      </c>
      <c r="I4" s="78">
        <f>-(612.13+831+5.25)</f>
        <v>-1448.38</v>
      </c>
    </row>
    <row r="5" spans="2:9" x14ac:dyDescent="0.3">
      <c r="B5" s="64" t="s">
        <v>5</v>
      </c>
      <c r="C5" s="7" t="s">
        <v>44</v>
      </c>
      <c r="D5" s="78">
        <v>-57570.720000000001</v>
      </c>
      <c r="E5" s="78">
        <v>-68963.02</v>
      </c>
      <c r="F5" s="78">
        <v>-70564.789999999994</v>
      </c>
      <c r="G5" s="78">
        <v>-78112.45</v>
      </c>
      <c r="H5" s="78">
        <v>-92012.39</v>
      </c>
      <c r="I5" s="78">
        <v>-100495.49</v>
      </c>
    </row>
    <row r="6" spans="2:9" x14ac:dyDescent="0.3">
      <c r="B6" s="64" t="s">
        <v>5</v>
      </c>
      <c r="C6" s="7" t="s">
        <v>47</v>
      </c>
      <c r="D6" s="78">
        <v>-9083.98</v>
      </c>
      <c r="E6" s="78">
        <v>-9852.39</v>
      </c>
      <c r="F6" s="78">
        <v>-14699.91</v>
      </c>
      <c r="G6" s="78">
        <v>-16697.11</v>
      </c>
      <c r="H6" s="78">
        <v>-15461.48</v>
      </c>
      <c r="I6" s="78">
        <v>-14825.85</v>
      </c>
    </row>
    <row r="7" spans="2:9" x14ac:dyDescent="0.3">
      <c r="B7" s="56"/>
      <c r="C7" s="7" t="s">
        <v>52</v>
      </c>
      <c r="D7" s="78">
        <f t="shared" ref="D7:I7" si="0">SUM(D4:D6)</f>
        <v>-67281.149999999994</v>
      </c>
      <c r="E7" s="78">
        <f t="shared" si="0"/>
        <v>-79647.73000000001</v>
      </c>
      <c r="F7" s="78">
        <f t="shared" si="0"/>
        <v>-86065.239999999991</v>
      </c>
      <c r="G7" s="78">
        <f t="shared" si="0"/>
        <v>-95605.77</v>
      </c>
      <c r="H7" s="78">
        <f t="shared" si="0"/>
        <v>-108542.53</v>
      </c>
      <c r="I7" s="78">
        <f t="shared" si="0"/>
        <v>-116769.72000000002</v>
      </c>
    </row>
    <row r="8" spans="2:9" x14ac:dyDescent="0.3">
      <c r="B8" s="56"/>
      <c r="C8" s="10" t="s">
        <v>51</v>
      </c>
      <c r="D8" s="79">
        <f t="shared" ref="D8:I8" si="1">D3+D7</f>
        <v>3651.5800000000017</v>
      </c>
      <c r="E8" s="79">
        <f t="shared" si="1"/>
        <v>5203.929999999993</v>
      </c>
      <c r="F8" s="79">
        <f t="shared" si="1"/>
        <v>5207.8000000000029</v>
      </c>
      <c r="G8" s="79">
        <f t="shared" si="1"/>
        <v>4984.9899999999907</v>
      </c>
      <c r="H8" s="79">
        <f t="shared" si="1"/>
        <v>4915.2700000000041</v>
      </c>
      <c r="I8" s="79">
        <f t="shared" si="1"/>
        <v>5844.5299999999843</v>
      </c>
    </row>
    <row r="9" spans="2:9" x14ac:dyDescent="0.3">
      <c r="B9" s="64" t="s">
        <v>5</v>
      </c>
      <c r="C9" s="7" t="s">
        <v>46</v>
      </c>
      <c r="D9" s="78">
        <v>-659.51</v>
      </c>
      <c r="E9" s="78">
        <v>-1283.4100000000001</v>
      </c>
      <c r="F9" s="78">
        <v>-1130.3</v>
      </c>
      <c r="G9" s="78">
        <v>-1115.51</v>
      </c>
      <c r="H9" s="78">
        <v>-1346.81</v>
      </c>
      <c r="I9" s="78">
        <v>-1663.28</v>
      </c>
    </row>
    <row r="10" spans="2:9" x14ac:dyDescent="0.3">
      <c r="B10" s="56"/>
      <c r="C10" s="10" t="s">
        <v>53</v>
      </c>
      <c r="D10" s="79">
        <f>D8+D9</f>
        <v>2992.0700000000015</v>
      </c>
      <c r="E10" s="79">
        <f t="shared" ref="E10:I10" si="2">E8+E9</f>
        <v>3920.5199999999932</v>
      </c>
      <c r="F10" s="79">
        <f t="shared" si="2"/>
        <v>4077.5000000000027</v>
      </c>
      <c r="G10" s="79">
        <f t="shared" si="2"/>
        <v>3869.4799999999905</v>
      </c>
      <c r="H10" s="79">
        <f t="shared" si="2"/>
        <v>3568.4600000000041</v>
      </c>
      <c r="I10" s="79">
        <f t="shared" si="2"/>
        <v>4181.2499999999845</v>
      </c>
    </row>
    <row r="11" spans="2:9" x14ac:dyDescent="0.3">
      <c r="B11" s="64" t="s">
        <v>10</v>
      </c>
      <c r="C11" s="7" t="s">
        <v>42</v>
      </c>
      <c r="D11" s="78">
        <v>176.91</v>
      </c>
      <c r="E11" s="78">
        <v>531.45000000000005</v>
      </c>
      <c r="F11" s="78">
        <v>4777.9399999999996</v>
      </c>
      <c r="G11" s="78">
        <v>526.79</v>
      </c>
      <c r="H11" s="78">
        <v>327.42</v>
      </c>
      <c r="I11" s="78">
        <v>426.67</v>
      </c>
    </row>
    <row r="12" spans="2:9" x14ac:dyDescent="0.3">
      <c r="B12" s="64" t="s">
        <v>10</v>
      </c>
      <c r="C12" s="7" t="s">
        <v>45</v>
      </c>
      <c r="D12" s="78">
        <v>-938.34</v>
      </c>
      <c r="E12" s="78">
        <v>-1517.23</v>
      </c>
      <c r="F12" s="78">
        <v>-1272.5</v>
      </c>
      <c r="G12" s="78">
        <v>-983.67</v>
      </c>
      <c r="H12" s="78">
        <v>-1148.9100000000001</v>
      </c>
      <c r="I12" s="78">
        <v>-1481.59</v>
      </c>
    </row>
    <row r="13" spans="2:9" x14ac:dyDescent="0.3">
      <c r="B13" s="64" t="s">
        <v>10</v>
      </c>
      <c r="C13" s="7" t="s">
        <v>48</v>
      </c>
      <c r="D13" s="78">
        <v>-135.38999999999999</v>
      </c>
      <c r="E13" s="78">
        <v>-44.03</v>
      </c>
      <c r="F13" s="80">
        <v>5.46</v>
      </c>
      <c r="G13" s="80">
        <v>26.01</v>
      </c>
      <c r="H13" s="80">
        <v>102.13</v>
      </c>
      <c r="I13" s="80">
        <v>248.87</v>
      </c>
    </row>
    <row r="14" spans="2:9" x14ac:dyDescent="0.3">
      <c r="B14" s="64"/>
      <c r="C14" s="7" t="s">
        <v>171</v>
      </c>
      <c r="D14" s="78">
        <v>0</v>
      </c>
      <c r="E14" s="78">
        <v>0</v>
      </c>
      <c r="F14" s="78">
        <v>-2762.46</v>
      </c>
      <c r="G14" s="80">
        <v>0</v>
      </c>
      <c r="H14" s="80">
        <v>0</v>
      </c>
      <c r="I14" s="78">
        <v>-656.05</v>
      </c>
    </row>
    <row r="15" spans="2:9" x14ac:dyDescent="0.3">
      <c r="B15" s="56"/>
      <c r="C15" s="10" t="s">
        <v>49</v>
      </c>
      <c r="D15" s="79">
        <f>D10+SUM(D11:D14)</f>
        <v>2095.2500000000014</v>
      </c>
      <c r="E15" s="79">
        <f t="shared" ref="E15:I15" si="3">E10+SUM(E11:E14)</f>
        <v>2890.7099999999932</v>
      </c>
      <c r="F15" s="79">
        <f t="shared" si="3"/>
        <v>4825.9400000000023</v>
      </c>
      <c r="G15" s="79">
        <f t="shared" si="3"/>
        <v>3438.6099999999906</v>
      </c>
      <c r="H15" s="79">
        <f t="shared" si="3"/>
        <v>2849.100000000004</v>
      </c>
      <c r="I15" s="79">
        <f t="shared" si="3"/>
        <v>2719.1499999999846</v>
      </c>
    </row>
    <row r="16" spans="2:9" x14ac:dyDescent="0.3">
      <c r="B16" s="64" t="s">
        <v>5</v>
      </c>
      <c r="C16" s="7" t="s">
        <v>54</v>
      </c>
      <c r="D16" s="81">
        <f>-(772.73-824.27)</f>
        <v>51.539999999999964</v>
      </c>
      <c r="E16" s="81">
        <f>-(809.71-173.53)</f>
        <v>-636.18000000000006</v>
      </c>
      <c r="F16" s="81">
        <f>-(1060.37+ 93.47)</f>
        <v>-1153.8399999999999</v>
      </c>
      <c r="G16" s="81">
        <f>-(761.16-581.82)</f>
        <v>-179.33999999999992</v>
      </c>
      <c r="H16" s="81">
        <f>-(421.49-1037.41)</f>
        <v>615.92000000000007</v>
      </c>
      <c r="I16" s="81">
        <f>-(314.76+503.99)</f>
        <v>-818.75</v>
      </c>
    </row>
    <row r="17" spans="1:14" x14ac:dyDescent="0.3">
      <c r="B17" s="57"/>
      <c r="C17" s="10" t="s">
        <v>63</v>
      </c>
      <c r="D17" s="79">
        <f>D15+D16</f>
        <v>2146.7900000000013</v>
      </c>
      <c r="E17" s="79">
        <f t="shared" ref="E17:I17" si="4">E15+E16</f>
        <v>2254.5299999999934</v>
      </c>
      <c r="F17" s="79">
        <f t="shared" si="4"/>
        <v>3672.1000000000022</v>
      </c>
      <c r="G17" s="79">
        <f t="shared" si="4"/>
        <v>3259.2699999999904</v>
      </c>
      <c r="H17" s="79">
        <f t="shared" si="4"/>
        <v>3465.0200000000041</v>
      </c>
      <c r="I17" s="79">
        <f t="shared" si="4"/>
        <v>1900.3999999999846</v>
      </c>
    </row>
    <row r="19" spans="1:14" x14ac:dyDescent="0.3">
      <c r="A19"/>
      <c r="B19"/>
      <c r="C19"/>
      <c r="D19"/>
      <c r="E19" s="45"/>
      <c r="F19" s="45"/>
      <c r="G19" s="45"/>
      <c r="H19" s="45"/>
      <c r="I19" s="45"/>
      <c r="J19"/>
      <c r="K19"/>
      <c r="L19"/>
      <c r="M19"/>
      <c r="N19"/>
    </row>
    <row r="20" spans="1:14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83EF-A435-4121-84D2-C4AB6374E144}">
  <dimension ref="D2:J5"/>
  <sheetViews>
    <sheetView showGridLines="0" workbookViewId="0">
      <selection activeCell="D3" sqref="D3"/>
    </sheetView>
  </sheetViews>
  <sheetFormatPr defaultRowHeight="14.4" x14ac:dyDescent="0.3"/>
  <cols>
    <col min="4" max="4" width="39.33203125" bestFit="1" customWidth="1"/>
    <col min="5" max="7" width="9.44140625" bestFit="1" customWidth="1"/>
    <col min="8" max="10" width="10.109375" bestFit="1" customWidth="1"/>
  </cols>
  <sheetData>
    <row r="2" spans="4:10" x14ac:dyDescent="0.3">
      <c r="D2" s="9" t="s">
        <v>2</v>
      </c>
      <c r="E2" s="9">
        <v>2019</v>
      </c>
      <c r="F2" s="9">
        <v>2020</v>
      </c>
      <c r="G2" s="9">
        <v>2021</v>
      </c>
      <c r="H2" s="9">
        <v>2022</v>
      </c>
      <c r="I2" s="9">
        <v>2023</v>
      </c>
      <c r="J2" s="9">
        <v>2024</v>
      </c>
    </row>
    <row r="3" spans="4:10" x14ac:dyDescent="0.3">
      <c r="D3" s="71" t="s">
        <v>55</v>
      </c>
      <c r="E3" s="82">
        <v>2048.35</v>
      </c>
      <c r="F3" s="82">
        <v>2013.8</v>
      </c>
      <c r="G3" s="82">
        <v>6395.73</v>
      </c>
      <c r="H3" s="82">
        <v>2334.9499999999998</v>
      </c>
      <c r="I3" s="82">
        <v>1709.3</v>
      </c>
      <c r="J3" s="82">
        <v>3944.17</v>
      </c>
    </row>
    <row r="4" spans="4:10" x14ac:dyDescent="0.3">
      <c r="D4" s="2" t="s">
        <v>56</v>
      </c>
      <c r="E4" s="82">
        <f>-863.95+34.86</f>
        <v>-829.09</v>
      </c>
      <c r="F4" s="82">
        <f>-835.37+ 60.23</f>
        <v>-775.14</v>
      </c>
      <c r="G4" s="82">
        <f>-684.76+220.28</f>
        <v>-464.48</v>
      </c>
      <c r="H4" s="82">
        <f>-1083.31+62.73</f>
        <v>-1020.5799999999999</v>
      </c>
      <c r="I4" s="82">
        <f>-1293.45+106.06</f>
        <v>-1187.3900000000001</v>
      </c>
      <c r="J4" s="82">
        <f>-1636.08+77.54</f>
        <v>-1558.54</v>
      </c>
    </row>
    <row r="5" spans="4:10" x14ac:dyDescent="0.3">
      <c r="D5" s="15" t="s">
        <v>57</v>
      </c>
      <c r="E5" s="83">
        <f>E3+E4</f>
        <v>1219.2599999999998</v>
      </c>
      <c r="F5" s="83">
        <f t="shared" ref="F5:J5" si="0">F3+F4</f>
        <v>1238.6599999999999</v>
      </c>
      <c r="G5" s="83">
        <f t="shared" si="0"/>
        <v>5931.25</v>
      </c>
      <c r="H5" s="83">
        <f t="shared" si="0"/>
        <v>1314.37</v>
      </c>
      <c r="I5" s="83">
        <f t="shared" si="0"/>
        <v>521.90999999999985</v>
      </c>
      <c r="J5" s="83">
        <f t="shared" si="0"/>
        <v>2385.63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3B48-1EAC-4B71-9E7B-29E0859B8EF0}">
  <dimension ref="A1"/>
  <sheetViews>
    <sheetView workbookViewId="0">
      <selection activeCell="K23" sqref="K23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78B5-3687-4B69-AD5C-9BB4A5B8AC8E}">
  <dimension ref="B2:R16"/>
  <sheetViews>
    <sheetView showGridLines="0" workbookViewId="0">
      <selection activeCell="C15" sqref="C15:M15"/>
    </sheetView>
  </sheetViews>
  <sheetFormatPr defaultRowHeight="14.4" x14ac:dyDescent="0.3"/>
  <cols>
    <col min="2" max="2" width="24.21875" bestFit="1" customWidth="1"/>
    <col min="3" max="3" width="9.44140625" bestFit="1" customWidth="1"/>
    <col min="4" max="13" width="10.44140625" bestFit="1" customWidth="1"/>
    <col min="15" max="15" width="19.44140625" bestFit="1" customWidth="1"/>
    <col min="16" max="16" width="14.44140625" bestFit="1" customWidth="1"/>
    <col min="17" max="17" width="2" bestFit="1" customWidth="1"/>
    <col min="18" max="18" width="9.77734375" bestFit="1" customWidth="1"/>
  </cols>
  <sheetData>
    <row r="2" spans="2:18" x14ac:dyDescent="0.3">
      <c r="B2" s="7"/>
      <c r="C2" s="108" t="s">
        <v>96</v>
      </c>
      <c r="D2" s="108"/>
      <c r="E2" s="108"/>
      <c r="F2" s="108"/>
      <c r="G2" s="108"/>
      <c r="H2" s="108"/>
      <c r="I2" s="109" t="s">
        <v>95</v>
      </c>
      <c r="J2" s="109"/>
      <c r="K2" s="109"/>
      <c r="L2" s="109"/>
      <c r="M2" s="109"/>
    </row>
    <row r="3" spans="2:18" x14ac:dyDescent="0.3">
      <c r="B3" s="7" t="s">
        <v>2</v>
      </c>
      <c r="C3" s="32" t="s">
        <v>80</v>
      </c>
      <c r="D3" s="32" t="s">
        <v>81</v>
      </c>
      <c r="E3" s="32" t="s">
        <v>172</v>
      </c>
      <c r="F3" s="32" t="s">
        <v>173</v>
      </c>
      <c r="G3" s="32" t="s">
        <v>174</v>
      </c>
      <c r="H3" s="32" t="s">
        <v>175</v>
      </c>
      <c r="I3" s="38" t="s">
        <v>94</v>
      </c>
      <c r="J3" s="38" t="s">
        <v>181</v>
      </c>
      <c r="K3" s="38" t="s">
        <v>182</v>
      </c>
      <c r="L3" s="38" t="s">
        <v>183</v>
      </c>
      <c r="M3" s="38" t="s">
        <v>184</v>
      </c>
      <c r="N3" s="22"/>
    </row>
    <row r="4" spans="2:18" x14ac:dyDescent="0.3">
      <c r="B4" s="7" t="s">
        <v>101</v>
      </c>
      <c r="C4" s="84">
        <f>Balancesheet!E18</f>
        <v>9529.61</v>
      </c>
      <c r="D4" s="84">
        <f>Balancesheet!F18</f>
        <v>11749.68</v>
      </c>
      <c r="E4" s="84">
        <f>Balancesheet!G18</f>
        <v>12430.13</v>
      </c>
      <c r="F4" s="84">
        <f>Balancesheet!H18</f>
        <v>13912.96</v>
      </c>
      <c r="G4" s="84">
        <f>Balancesheet!I18</f>
        <v>16777.060000000001</v>
      </c>
      <c r="H4" s="84">
        <f>Balancesheet!J18</f>
        <v>18858.46</v>
      </c>
      <c r="I4" s="85">
        <f>I5*'P&amp;L Assumptions'!I7/365</f>
        <v>21121.475200000004</v>
      </c>
      <c r="J4" s="85">
        <f>J5*'P&amp;L Assumptions'!J7/365</f>
        <v>23656.052224000006</v>
      </c>
      <c r="K4" s="85">
        <f>K5*'P&amp;L Assumptions'!K7/365</f>
        <v>26494.778490880009</v>
      </c>
      <c r="L4" s="85">
        <f>L5*'P&amp;L Assumptions'!L7/365</f>
        <v>29674.151909785614</v>
      </c>
      <c r="M4" s="85">
        <f>M5*'P&amp;L Assumptions'!M7/365</f>
        <v>33235.050138959894</v>
      </c>
    </row>
    <row r="5" spans="2:18" x14ac:dyDescent="0.3">
      <c r="B5" s="7" t="s">
        <v>104</v>
      </c>
      <c r="C5" s="34">
        <f>(C4/'P&amp;L'!D3)*365</f>
        <v>49.036709146821231</v>
      </c>
      <c r="D5" s="34">
        <f>(D4/'P&amp;L'!E3)*365</f>
        <v>50.54271419085967</v>
      </c>
      <c r="E5" s="34">
        <f>(E4/'P&amp;L'!F3)*365</f>
        <v>49.70796907827328</v>
      </c>
      <c r="F5" s="34">
        <f>(F4/'P&amp;L'!G3)*365</f>
        <v>50.484064341496179</v>
      </c>
      <c r="G5" s="34">
        <f>(G4/'P&amp;L'!H3)*365</f>
        <v>53.972727304777635</v>
      </c>
      <c r="H5" s="34">
        <f>(H4/'P&amp;L'!I3)*365</f>
        <v>56.138156046299677</v>
      </c>
      <c r="I5" s="40">
        <f>H5</f>
        <v>56.138156046299677</v>
      </c>
      <c r="J5" s="40">
        <f t="shared" ref="J5:M5" si="0">I5</f>
        <v>56.138156046299677</v>
      </c>
      <c r="K5" s="40">
        <f t="shared" si="0"/>
        <v>56.138156046299677</v>
      </c>
      <c r="L5" s="40">
        <f t="shared" si="0"/>
        <v>56.138156046299677</v>
      </c>
      <c r="M5" s="40">
        <f t="shared" si="0"/>
        <v>56.138156046299677</v>
      </c>
      <c r="O5" t="s">
        <v>157</v>
      </c>
      <c r="Q5">
        <v>1</v>
      </c>
      <c r="R5" t="s">
        <v>163</v>
      </c>
    </row>
    <row r="6" spans="2:18" x14ac:dyDescent="0.3">
      <c r="B6" s="1"/>
      <c r="C6" s="35"/>
      <c r="D6" s="35"/>
      <c r="E6" s="35"/>
      <c r="F6" s="35"/>
      <c r="G6" s="35"/>
      <c r="H6" s="35"/>
      <c r="I6" s="41"/>
      <c r="J6" s="41"/>
      <c r="K6" s="41"/>
      <c r="L6" s="41"/>
      <c r="M6" s="41"/>
      <c r="Q6">
        <v>2</v>
      </c>
      <c r="R6" t="s">
        <v>164</v>
      </c>
    </row>
    <row r="7" spans="2:18" x14ac:dyDescent="0.3">
      <c r="B7" s="7" t="s">
        <v>102</v>
      </c>
      <c r="C7" s="84">
        <f>Balancesheet!E35</f>
        <v>661.42</v>
      </c>
      <c r="D7" s="84">
        <f>Balancesheet!F35</f>
        <v>538.04999999999995</v>
      </c>
      <c r="E7" s="84">
        <f>Balancesheet!G35</f>
        <v>661.47</v>
      </c>
      <c r="F7" s="84">
        <f>Balancesheet!H35</f>
        <v>582.61</v>
      </c>
      <c r="G7" s="84">
        <f>Balancesheet!I35</f>
        <v>639.08000000000004</v>
      </c>
      <c r="H7" s="84">
        <f>Balancesheet!J35</f>
        <v>846.89</v>
      </c>
      <c r="I7" s="85">
        <f>-I8*'P&amp;L Assumptions'!I13/365</f>
        <v>802.97764429500558</v>
      </c>
      <c r="J7" s="85">
        <f>-J8*'P&amp;L Assumptions'!J13/365</f>
        <v>899.33496161040625</v>
      </c>
      <c r="K7" s="85">
        <f>-K8*'P&amp;L Assumptions'!K13/365</f>
        <v>1007.2551570036552</v>
      </c>
      <c r="L7" s="85">
        <f>-L8*'P&amp;L Assumptions'!L13/365</f>
        <v>1128.1257758440941</v>
      </c>
      <c r="M7" s="85">
        <f>-M8*'P&amp;L Assumptions'!M13/365</f>
        <v>1263.5008689453853</v>
      </c>
      <c r="Q7">
        <v>3</v>
      </c>
      <c r="R7" t="s">
        <v>165</v>
      </c>
    </row>
    <row r="8" spans="2:18" x14ac:dyDescent="0.3">
      <c r="B8" s="7" t="s">
        <v>105</v>
      </c>
      <c r="C8" s="33">
        <f>-(C7/'P&amp;L Assumptions'!C13)*365</f>
        <v>385.37520951392764</v>
      </c>
      <c r="D8" s="33">
        <f>-(D7/'P&amp;L Assumptions'!D13)*365</f>
        <v>235.95281862745097</v>
      </c>
      <c r="E8" s="33">
        <f>-(E7/'P&amp;L Assumptions'!E13)*365</f>
        <v>301.59211282384393</v>
      </c>
      <c r="F8" s="33">
        <f>-(F7/'P&amp;L Assumptions'!F13)*365</f>
        <v>267.08110925509607</v>
      </c>
      <c r="G8" s="33">
        <f>-(G7/'P&amp;L Assumptions'!G13)*365</f>
        <v>218.27728182958094</v>
      </c>
      <c r="H8" s="33">
        <f>-(H7/'P&amp;L Assumptions'!H13)*365</f>
        <v>213.42109805437798</v>
      </c>
      <c r="I8" s="39">
        <f>H8</f>
        <v>213.42109805437798</v>
      </c>
      <c r="J8" s="39">
        <f t="shared" ref="J8:M8" si="1">I8</f>
        <v>213.42109805437798</v>
      </c>
      <c r="K8" s="39">
        <f t="shared" si="1"/>
        <v>213.42109805437798</v>
      </c>
      <c r="L8" s="39">
        <f t="shared" si="1"/>
        <v>213.42109805437798</v>
      </c>
      <c r="M8" s="39">
        <f t="shared" si="1"/>
        <v>213.42109805437798</v>
      </c>
      <c r="O8" t="s">
        <v>158</v>
      </c>
    </row>
    <row r="9" spans="2:18" x14ac:dyDescent="0.3">
      <c r="B9" s="1"/>
      <c r="C9" s="35"/>
      <c r="D9" s="35"/>
      <c r="E9" s="35"/>
      <c r="F9" s="35"/>
      <c r="G9" s="35"/>
      <c r="H9" s="35"/>
      <c r="I9" s="41"/>
      <c r="J9" s="41"/>
      <c r="K9" s="41"/>
      <c r="L9" s="41"/>
      <c r="M9" s="41"/>
    </row>
    <row r="10" spans="2:18" x14ac:dyDescent="0.3">
      <c r="B10" s="7" t="s">
        <v>103</v>
      </c>
      <c r="C10" s="84">
        <f>Balancesheet!E16</f>
        <v>253.61</v>
      </c>
      <c r="D10" s="84">
        <f>Balancesheet!F16</f>
        <v>338.59</v>
      </c>
      <c r="E10" s="84">
        <f>Balancesheet!G16</f>
        <v>308.93</v>
      </c>
      <c r="F10" s="84">
        <f>Balancesheet!H16</f>
        <v>340.25</v>
      </c>
      <c r="G10" s="84">
        <f>Balancesheet!I16</f>
        <v>314.27999999999997</v>
      </c>
      <c r="H10" s="84">
        <f>Balancesheet!J16</f>
        <v>309.02999999999997</v>
      </c>
      <c r="I10" s="85">
        <f>-I11*'P&amp;L Assumptions'!I13/365</f>
        <v>293.00638975130835</v>
      </c>
      <c r="J10" s="85">
        <f>-J11*'P&amp;L Assumptions'!J13/365</f>
        <v>328.16715652146542</v>
      </c>
      <c r="K10" s="85">
        <f>-K11*'P&amp;L Assumptions'!K13/365</f>
        <v>367.54721530404129</v>
      </c>
      <c r="L10" s="85">
        <f>-L11*'P&amp;L Assumptions'!L13/365</f>
        <v>411.65288114052629</v>
      </c>
      <c r="M10" s="85">
        <f>-M11*'P&amp;L Assumptions'!M13/365</f>
        <v>461.05122687738947</v>
      </c>
      <c r="O10" t="s">
        <v>159</v>
      </c>
    </row>
    <row r="11" spans="2:18" x14ac:dyDescent="0.3">
      <c r="B11" s="7" t="s">
        <v>106</v>
      </c>
      <c r="C11" s="33">
        <f>-(C10/'P&amp;L Assumptions'!C13)*365</f>
        <v>147.76542421581928</v>
      </c>
      <c r="D11" s="33">
        <f>-(D10/'P&amp;L Assumptions'!D13)*365</f>
        <v>148.4829752979623</v>
      </c>
      <c r="E11" s="33">
        <f>-(E10/'P&amp;L Assumptions'!E13)*365</f>
        <v>140.85423589077374</v>
      </c>
      <c r="F11" s="33">
        <f>-(F10/'P&amp;L Assumptions'!F13)*365</f>
        <v>155.97800831438946</v>
      </c>
      <c r="G11" s="33">
        <f>-(G10/'P&amp;L Assumptions'!G13)*365</f>
        <v>107.3420919656392</v>
      </c>
      <c r="H11" s="33">
        <f>-(H10/'P&amp;L Assumptions'!H13)*365</f>
        <v>77.87731810712657</v>
      </c>
      <c r="I11" s="39">
        <f>H11</f>
        <v>77.87731810712657</v>
      </c>
      <c r="J11" s="39">
        <f t="shared" ref="J11:M11" si="2">I11</f>
        <v>77.87731810712657</v>
      </c>
      <c r="K11" s="39">
        <f t="shared" si="2"/>
        <v>77.87731810712657</v>
      </c>
      <c r="L11" s="39">
        <f t="shared" si="2"/>
        <v>77.87731810712657</v>
      </c>
      <c r="M11" s="39">
        <f t="shared" si="2"/>
        <v>77.87731810712657</v>
      </c>
    </row>
    <row r="12" spans="2:18" x14ac:dyDescent="0.3">
      <c r="B12" s="1"/>
      <c r="C12" s="35"/>
      <c r="D12" s="35"/>
      <c r="E12" s="35"/>
      <c r="F12" s="35"/>
      <c r="G12" s="35"/>
      <c r="H12" s="35"/>
      <c r="I12" s="41"/>
      <c r="J12" s="41"/>
      <c r="K12" s="41"/>
      <c r="L12" s="41"/>
      <c r="M12" s="41"/>
    </row>
    <row r="13" spans="2:18" x14ac:dyDescent="0.3">
      <c r="B13" s="7" t="s">
        <v>107</v>
      </c>
      <c r="C13" s="33">
        <f t="shared" ref="C13:M13" si="3">C5+C11-C8</f>
        <v>-188.57307615128713</v>
      </c>
      <c r="D13" s="33">
        <f t="shared" si="3"/>
        <v>-36.927129138628999</v>
      </c>
      <c r="E13" s="33">
        <f t="shared" si="3"/>
        <v>-111.02990785479693</v>
      </c>
      <c r="F13" s="33">
        <f t="shared" si="3"/>
        <v>-60.619036599210432</v>
      </c>
      <c r="G13" s="33">
        <f t="shared" si="3"/>
        <v>-56.962462559164123</v>
      </c>
      <c r="H13" s="33">
        <f t="shared" si="3"/>
        <v>-79.405623900951724</v>
      </c>
      <c r="I13" s="39">
        <f t="shared" si="3"/>
        <v>-79.405623900951724</v>
      </c>
      <c r="J13" s="39">
        <f t="shared" si="3"/>
        <v>-79.405623900951724</v>
      </c>
      <c r="K13" s="39">
        <f t="shared" si="3"/>
        <v>-79.405623900951724</v>
      </c>
      <c r="L13" s="39">
        <f t="shared" si="3"/>
        <v>-79.405623900951724</v>
      </c>
      <c r="M13" s="39">
        <f t="shared" si="3"/>
        <v>-79.405623900951724</v>
      </c>
      <c r="O13" t="s">
        <v>160</v>
      </c>
    </row>
    <row r="14" spans="2:18" x14ac:dyDescent="0.3">
      <c r="C14" s="36"/>
      <c r="D14" s="36"/>
      <c r="E14" s="36"/>
      <c r="F14" s="36"/>
      <c r="G14" s="36"/>
      <c r="H14" s="36"/>
      <c r="I14" s="42"/>
      <c r="J14" s="42"/>
      <c r="K14" s="42"/>
      <c r="L14" s="42"/>
      <c r="M14" s="42"/>
    </row>
    <row r="15" spans="2:18" x14ac:dyDescent="0.3">
      <c r="B15" s="7" t="s">
        <v>3</v>
      </c>
      <c r="C15" s="86">
        <f>Balancesheet!E3</f>
        <v>1742.07</v>
      </c>
      <c r="D15" s="86">
        <f>Balancesheet!F3</f>
        <v>2662.12</v>
      </c>
      <c r="E15" s="86">
        <f>Balancesheet!G3</f>
        <v>2564.11</v>
      </c>
      <c r="F15" s="86">
        <f>Balancesheet!H3</f>
        <v>2791.81</v>
      </c>
      <c r="G15" s="86">
        <f>Balancesheet!I3</f>
        <v>3105.88</v>
      </c>
      <c r="H15" s="86">
        <f>Balancesheet!J3</f>
        <v>3734.96</v>
      </c>
      <c r="I15" s="87">
        <f>I16*'P&amp;L Assumptions'!I7</f>
        <v>4183.1552000000011</v>
      </c>
      <c r="J15" s="87">
        <f>J16*'P&amp;L Assumptions'!J7</f>
        <v>4685.1338240000014</v>
      </c>
      <c r="K15" s="87">
        <f>K16*'P&amp;L Assumptions'!K7</f>
        <v>5247.349882880002</v>
      </c>
      <c r="L15" s="87">
        <f>L16*'P&amp;L Assumptions'!L7</f>
        <v>5877.0318688256029</v>
      </c>
      <c r="M15" s="87">
        <f>M16*'P&amp;L Assumptions'!M7</f>
        <v>6582.2756930846763</v>
      </c>
    </row>
    <row r="16" spans="2:18" x14ac:dyDescent="0.3">
      <c r="B16" s="7" t="s">
        <v>97</v>
      </c>
      <c r="C16" s="37">
        <f>C15/'P&amp;L'!D3</f>
        <v>2.4559466412754732E-2</v>
      </c>
      <c r="D16" s="37">
        <f>D15/'P&amp;L'!E3</f>
        <v>3.1373811661433611E-2</v>
      </c>
      <c r="E16" s="37">
        <f>E15/'P&amp;L'!F3</f>
        <v>2.8092742391400576E-2</v>
      </c>
      <c r="F16" s="37">
        <f>F15/'P&amp;L'!G3</f>
        <v>2.7754139644635353E-2</v>
      </c>
      <c r="G16" s="37">
        <f>G15/'P&amp;L'!H3</f>
        <v>2.737475960224859E-2</v>
      </c>
      <c r="H16" s="37">
        <f>H15/'P&amp;L'!I3</f>
        <v>3.0461059787096526E-2</v>
      </c>
      <c r="I16" s="43">
        <f>H16</f>
        <v>3.0461059787096526E-2</v>
      </c>
      <c r="J16" s="43">
        <f t="shared" ref="J16:M16" si="4">I16</f>
        <v>3.0461059787096526E-2</v>
      </c>
      <c r="K16" s="43">
        <f t="shared" si="4"/>
        <v>3.0461059787096526E-2</v>
      </c>
      <c r="L16" s="43">
        <f t="shared" si="4"/>
        <v>3.0461059787096526E-2</v>
      </c>
      <c r="M16" s="43">
        <f t="shared" si="4"/>
        <v>3.0461059787096526E-2</v>
      </c>
    </row>
  </sheetData>
  <mergeCells count="2">
    <mergeCell ref="C2:H2"/>
    <mergeCell ref="I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DE63-FDA0-4A2D-B401-5C933F556AD8}">
  <dimension ref="B2:O5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N2" sqref="N2:O4"/>
    </sheetView>
  </sheetViews>
  <sheetFormatPr defaultRowHeight="14.4" x14ac:dyDescent="0.3"/>
  <cols>
    <col min="2" max="2" width="24.5546875" bestFit="1" customWidth="1"/>
    <col min="3" max="5" width="11.109375" bestFit="1" customWidth="1"/>
    <col min="6" max="7" width="12" bestFit="1" customWidth="1"/>
    <col min="8" max="13" width="12.5546875" bestFit="1" customWidth="1"/>
    <col min="14" max="14" width="6.33203125" bestFit="1" customWidth="1"/>
    <col min="15" max="15" width="13.6640625" bestFit="1" customWidth="1"/>
    <col min="16" max="16" width="14.44140625" bestFit="1" customWidth="1"/>
  </cols>
  <sheetData>
    <row r="2" spans="2:15" x14ac:dyDescent="0.3">
      <c r="B2" t="s">
        <v>82</v>
      </c>
      <c r="C2" s="29">
        <v>1</v>
      </c>
      <c r="N2" t="s">
        <v>83</v>
      </c>
      <c r="O2" t="s">
        <v>166</v>
      </c>
    </row>
    <row r="3" spans="2:15" x14ac:dyDescent="0.3">
      <c r="N3" t="s">
        <v>85</v>
      </c>
      <c r="O3" t="s">
        <v>86</v>
      </c>
    </row>
    <row r="4" spans="2:15" x14ac:dyDescent="0.3">
      <c r="N4" t="s">
        <v>84</v>
      </c>
      <c r="O4" t="s">
        <v>87</v>
      </c>
    </row>
    <row r="5" spans="2:15" x14ac:dyDescent="0.3">
      <c r="B5" s="2"/>
      <c r="C5" s="111" t="s">
        <v>96</v>
      </c>
      <c r="D5" s="111"/>
      <c r="E5" s="111"/>
      <c r="F5" s="111"/>
      <c r="G5" s="111"/>
      <c r="H5" s="111"/>
      <c r="I5" s="110" t="s">
        <v>95</v>
      </c>
      <c r="J5" s="110"/>
      <c r="K5" s="110"/>
      <c r="L5" s="110"/>
      <c r="M5" s="110"/>
    </row>
    <row r="6" spans="2:15" x14ac:dyDescent="0.3">
      <c r="B6" s="2" t="s">
        <v>2</v>
      </c>
      <c r="C6" s="15" t="s">
        <v>80</v>
      </c>
      <c r="D6" s="15" t="s">
        <v>81</v>
      </c>
      <c r="E6" s="15" t="s">
        <v>172</v>
      </c>
      <c r="F6" s="15" t="s">
        <v>173</v>
      </c>
      <c r="G6" s="15" t="s">
        <v>174</v>
      </c>
      <c r="H6" s="15" t="s">
        <v>175</v>
      </c>
      <c r="I6" s="28" t="s">
        <v>176</v>
      </c>
      <c r="J6" s="28" t="s">
        <v>177</v>
      </c>
      <c r="K6" s="28" t="s">
        <v>178</v>
      </c>
      <c r="L6" s="28" t="s">
        <v>179</v>
      </c>
      <c r="M6" s="28" t="s">
        <v>180</v>
      </c>
      <c r="N6" s="22"/>
    </row>
    <row r="7" spans="2:15" x14ac:dyDescent="0.3">
      <c r="B7" s="2" t="s">
        <v>88</v>
      </c>
      <c r="C7" s="82">
        <f>'P&amp;L'!D3</f>
        <v>70932.73</v>
      </c>
      <c r="D7" s="82">
        <f>'P&amp;L'!E3</f>
        <v>84851.66</v>
      </c>
      <c r="E7" s="82">
        <f>'P&amp;L'!F3</f>
        <v>91273.04</v>
      </c>
      <c r="F7" s="82">
        <f>'P&amp;L'!G3</f>
        <v>100590.76</v>
      </c>
      <c r="G7" s="82">
        <f>'P&amp;L'!H3</f>
        <v>113457.8</v>
      </c>
      <c r="H7" s="82">
        <f>'P&amp;L'!I3</f>
        <v>122614.25</v>
      </c>
      <c r="I7" s="82">
        <f>H7*(1+I8)</f>
        <v>137327.96000000002</v>
      </c>
      <c r="J7" s="82">
        <f t="shared" ref="J7:M7" si="0">I7*(1+J8)</f>
        <v>153807.31520000004</v>
      </c>
      <c r="K7" s="82">
        <f t="shared" si="0"/>
        <v>172264.19302400007</v>
      </c>
      <c r="L7" s="82">
        <f t="shared" si="0"/>
        <v>192935.8961868801</v>
      </c>
      <c r="M7" s="82">
        <f t="shared" si="0"/>
        <v>216088.20372930574</v>
      </c>
    </row>
    <row r="8" spans="2:15" x14ac:dyDescent="0.3">
      <c r="B8" s="2" t="s">
        <v>89</v>
      </c>
      <c r="C8" s="25"/>
      <c r="D8" s="26">
        <f>D7/C7-1</f>
        <v>0.19622718595491828</v>
      </c>
      <c r="E8" s="26">
        <f t="shared" ref="E8:H8" si="1">E7/D7-1</f>
        <v>7.5677718031680108E-2</v>
      </c>
      <c r="F8" s="26">
        <f t="shared" si="1"/>
        <v>0.10208622392767897</v>
      </c>
      <c r="G8" s="26">
        <f t="shared" si="1"/>
        <v>0.1279147309355253</v>
      </c>
      <c r="H8" s="26">
        <f t="shared" si="1"/>
        <v>8.0703574368619746E-2</v>
      </c>
      <c r="I8" s="16">
        <f>CHOOSE($C$2,I9,I10,I11)</f>
        <v>0.12</v>
      </c>
      <c r="J8" s="16">
        <f t="shared" ref="J8:M8" si="2">CHOOSE($C$2,J9,J10,J11)</f>
        <v>0.12</v>
      </c>
      <c r="K8" s="16">
        <f t="shared" si="2"/>
        <v>0.12</v>
      </c>
      <c r="L8" s="16">
        <f t="shared" si="2"/>
        <v>0.12</v>
      </c>
      <c r="M8" s="16">
        <f t="shared" si="2"/>
        <v>0.12</v>
      </c>
    </row>
    <row r="9" spans="2:15" x14ac:dyDescent="0.3">
      <c r="B9" s="23" t="s">
        <v>83</v>
      </c>
      <c r="C9" s="27"/>
      <c r="D9" s="27"/>
      <c r="E9" s="27"/>
      <c r="F9" s="27"/>
      <c r="G9" s="27"/>
      <c r="H9" s="27"/>
      <c r="I9" s="24">
        <v>0.12</v>
      </c>
      <c r="J9" s="24">
        <v>0.12</v>
      </c>
      <c r="K9" s="24">
        <v>0.12</v>
      </c>
      <c r="L9" s="24">
        <v>0.12</v>
      </c>
      <c r="M9" s="24">
        <v>0.12</v>
      </c>
    </row>
    <row r="10" spans="2:15" x14ac:dyDescent="0.3">
      <c r="B10" s="23" t="s">
        <v>85</v>
      </c>
      <c r="C10" s="27"/>
      <c r="D10" s="27"/>
      <c r="E10" s="27"/>
      <c r="F10" s="27"/>
      <c r="G10" s="27"/>
      <c r="H10" s="27"/>
      <c r="I10" s="24">
        <v>0.1</v>
      </c>
      <c r="J10" s="24">
        <v>0.1</v>
      </c>
      <c r="K10" s="24">
        <v>0.1</v>
      </c>
      <c r="L10" s="24">
        <v>0.1</v>
      </c>
      <c r="M10" s="24">
        <v>0.1</v>
      </c>
    </row>
    <row r="11" spans="2:15" x14ac:dyDescent="0.3">
      <c r="B11" s="23" t="s">
        <v>84</v>
      </c>
      <c r="C11" s="27"/>
      <c r="D11" s="27"/>
      <c r="E11" s="27"/>
      <c r="F11" s="27"/>
      <c r="G11" s="27"/>
      <c r="H11" s="27"/>
      <c r="I11" s="24">
        <v>0.08</v>
      </c>
      <c r="J11" s="24">
        <v>0.08</v>
      </c>
      <c r="K11" s="24">
        <v>0.08</v>
      </c>
      <c r="L11" s="24">
        <v>0.08</v>
      </c>
      <c r="M11" s="24">
        <v>0.08</v>
      </c>
    </row>
    <row r="13" spans="2:15" x14ac:dyDescent="0.3">
      <c r="B13" s="2" t="str">
        <f>'P&amp;L'!C4</f>
        <v>Cost of Materials Consumed</v>
      </c>
      <c r="C13" s="82">
        <f>'P&amp;L'!D4</f>
        <v>-626.45000000000005</v>
      </c>
      <c r="D13" s="82">
        <f>'P&amp;L'!E4</f>
        <v>-832.32</v>
      </c>
      <c r="E13" s="82">
        <f>'P&amp;L'!F4</f>
        <v>-800.54</v>
      </c>
      <c r="F13" s="82">
        <f>'P&amp;L'!G4</f>
        <v>-796.20999999999992</v>
      </c>
      <c r="G13" s="82">
        <f>'P&amp;L'!H4</f>
        <v>-1068.6600000000001</v>
      </c>
      <c r="H13" s="82">
        <f>'P&amp;L'!I4</f>
        <v>-1448.38</v>
      </c>
      <c r="I13" s="88">
        <f>-I7*I14</f>
        <v>-1373.2796000000003</v>
      </c>
      <c r="J13" s="88">
        <f t="shared" ref="J13:M13" si="3">-J7*J14</f>
        <v>-1538.0731520000004</v>
      </c>
      <c r="K13" s="88">
        <f t="shared" si="3"/>
        <v>-1722.6419302400006</v>
      </c>
      <c r="L13" s="88">
        <f t="shared" si="3"/>
        <v>-1929.3589618688011</v>
      </c>
      <c r="M13" s="88">
        <f t="shared" si="3"/>
        <v>-2160.8820372930572</v>
      </c>
    </row>
    <row r="14" spans="2:15" x14ac:dyDescent="0.3">
      <c r="B14" s="2" t="s">
        <v>97</v>
      </c>
      <c r="C14" s="26">
        <f>-C13/C7</f>
        <v>8.8316070733496389E-3</v>
      </c>
      <c r="D14" s="26">
        <f>-D13/D7</f>
        <v>9.8091186430530643E-3</v>
      </c>
      <c r="E14" s="26">
        <f t="shared" ref="E14:H14" si="4">-E13/E7</f>
        <v>8.7708265222676933E-3</v>
      </c>
      <c r="F14" s="26">
        <f t="shared" si="4"/>
        <v>7.9153393413072919E-3</v>
      </c>
      <c r="G14" s="26">
        <f t="shared" si="4"/>
        <v>9.4190086534376664E-3</v>
      </c>
      <c r="H14" s="26">
        <f t="shared" si="4"/>
        <v>1.1812493246094969E-2</v>
      </c>
      <c r="I14" s="16">
        <f>CHOOSE($C$2,I15,I16,I17)</f>
        <v>0.01</v>
      </c>
      <c r="J14" s="16">
        <f t="shared" ref="J14:M14" si="5">CHOOSE($C$2,J15,J16,J17)</f>
        <v>0.01</v>
      </c>
      <c r="K14" s="16">
        <f t="shared" si="5"/>
        <v>0.01</v>
      </c>
      <c r="L14" s="16">
        <f t="shared" si="5"/>
        <v>0.01</v>
      </c>
      <c r="M14" s="16">
        <f t="shared" si="5"/>
        <v>0.01</v>
      </c>
    </row>
    <row r="15" spans="2:15" x14ac:dyDescent="0.3">
      <c r="B15" s="23" t="s">
        <v>83</v>
      </c>
      <c r="C15" s="27"/>
      <c r="D15" s="27"/>
      <c r="E15" s="27"/>
      <c r="F15" s="27"/>
      <c r="G15" s="27"/>
      <c r="H15" s="27"/>
      <c r="I15" s="24">
        <v>0.01</v>
      </c>
      <c r="J15" s="24">
        <v>0.01</v>
      </c>
      <c r="K15" s="24">
        <v>0.01</v>
      </c>
      <c r="L15" s="24">
        <v>0.01</v>
      </c>
      <c r="M15" s="24">
        <v>0.01</v>
      </c>
    </row>
    <row r="16" spans="2:15" x14ac:dyDescent="0.3">
      <c r="B16" s="23" t="s">
        <v>85</v>
      </c>
      <c r="C16" s="27"/>
      <c r="D16" s="27"/>
      <c r="E16" s="27"/>
      <c r="F16" s="27"/>
      <c r="G16" s="27"/>
      <c r="H16" s="27"/>
      <c r="I16" s="24">
        <v>0</v>
      </c>
      <c r="J16" s="24">
        <v>0</v>
      </c>
      <c r="K16" s="24">
        <v>0</v>
      </c>
      <c r="L16" s="24">
        <v>0</v>
      </c>
      <c r="M16" s="24">
        <v>0</v>
      </c>
    </row>
    <row r="17" spans="2:13" x14ac:dyDescent="0.3">
      <c r="B17" s="23" t="s">
        <v>84</v>
      </c>
      <c r="C17" s="27"/>
      <c r="D17" s="27"/>
      <c r="E17" s="27"/>
      <c r="F17" s="27"/>
      <c r="G17" s="27"/>
      <c r="H17" s="27"/>
      <c r="I17" s="24">
        <v>-0.01</v>
      </c>
      <c r="J17" s="24">
        <v>-0.01</v>
      </c>
      <c r="K17" s="24">
        <v>-0.01</v>
      </c>
      <c r="L17" s="24">
        <v>-0.01</v>
      </c>
      <c r="M17" s="24">
        <v>-0.01</v>
      </c>
    </row>
    <row r="19" spans="2:13" x14ac:dyDescent="0.3">
      <c r="B19" s="2" t="s">
        <v>98</v>
      </c>
      <c r="C19" s="82">
        <f>'P&amp;L'!D5</f>
        <v>-57570.720000000001</v>
      </c>
      <c r="D19" s="82">
        <f>'P&amp;L'!E5</f>
        <v>-68963.02</v>
      </c>
      <c r="E19" s="82">
        <f>'P&amp;L'!F5</f>
        <v>-70564.789999999994</v>
      </c>
      <c r="F19" s="82">
        <f>'P&amp;L'!G5</f>
        <v>-78112.45</v>
      </c>
      <c r="G19" s="82">
        <f>'P&amp;L'!H5</f>
        <v>-92012.39</v>
      </c>
      <c r="H19" s="82">
        <f>'P&amp;L'!I5</f>
        <v>-100495.49</v>
      </c>
      <c r="I19" s="88">
        <f>-I7*I20</f>
        <v>-109862.36800000002</v>
      </c>
      <c r="J19" s="88">
        <f>-J7*J20</f>
        <v>-123045.85216000004</v>
      </c>
      <c r="K19" s="88">
        <f>-K7*K20</f>
        <v>-137811.35441920007</v>
      </c>
      <c r="L19" s="88">
        <f>-L7*L20</f>
        <v>-154348.71694950407</v>
      </c>
      <c r="M19" s="88">
        <f>-M7*M20</f>
        <v>-172870.5629834446</v>
      </c>
    </row>
    <row r="20" spans="2:13" x14ac:dyDescent="0.3">
      <c r="B20" s="2" t="s">
        <v>99</v>
      </c>
      <c r="C20" s="26">
        <f t="shared" ref="C20:H20" si="6">-C19/C7</f>
        <v>0.81162419661558216</v>
      </c>
      <c r="D20" s="26">
        <f t="shared" si="6"/>
        <v>0.81274803580743149</v>
      </c>
      <c r="E20" s="26">
        <f t="shared" si="6"/>
        <v>0.77311756023465417</v>
      </c>
      <c r="F20" s="26">
        <f t="shared" si="6"/>
        <v>0.77653702984250239</v>
      </c>
      <c r="G20" s="26">
        <f t="shared" si="6"/>
        <v>0.81098337884217742</v>
      </c>
      <c r="H20" s="26">
        <f t="shared" si="6"/>
        <v>0.81960693801903128</v>
      </c>
      <c r="I20" s="16">
        <f>CHOOSE($C$2,I21,I22,I23)</f>
        <v>0.8</v>
      </c>
      <c r="J20" s="16">
        <f t="shared" ref="J20:M20" si="7">CHOOSE($C$2,J21,J22,J23)</f>
        <v>0.8</v>
      </c>
      <c r="K20" s="16">
        <f t="shared" si="7"/>
        <v>0.8</v>
      </c>
      <c r="L20" s="16">
        <f t="shared" si="7"/>
        <v>0.8</v>
      </c>
      <c r="M20" s="16">
        <f t="shared" si="7"/>
        <v>0.8</v>
      </c>
    </row>
    <row r="21" spans="2:13" x14ac:dyDescent="0.3">
      <c r="B21" s="23" t="s">
        <v>83</v>
      </c>
      <c r="C21" s="27"/>
      <c r="D21" s="27"/>
      <c r="E21" s="27"/>
      <c r="F21" s="27"/>
      <c r="G21" s="27"/>
      <c r="H21" s="27"/>
      <c r="I21" s="24">
        <v>0.8</v>
      </c>
      <c r="J21" s="24">
        <v>0.8</v>
      </c>
      <c r="K21" s="24">
        <v>0.8</v>
      </c>
      <c r="L21" s="24">
        <v>0.8</v>
      </c>
      <c r="M21" s="24">
        <v>0.8</v>
      </c>
    </row>
    <row r="22" spans="2:13" x14ac:dyDescent="0.3">
      <c r="B22" s="23" t="s">
        <v>85</v>
      </c>
      <c r="C22" s="27"/>
      <c r="D22" s="27"/>
      <c r="E22" s="27"/>
      <c r="F22" s="27"/>
      <c r="G22" s="27"/>
      <c r="H22" s="27"/>
      <c r="I22" s="24">
        <v>0.78</v>
      </c>
      <c r="J22" s="24">
        <v>0.78</v>
      </c>
      <c r="K22" s="24">
        <v>0.78</v>
      </c>
      <c r="L22" s="24">
        <v>0.78</v>
      </c>
      <c r="M22" s="24">
        <v>0.78</v>
      </c>
    </row>
    <row r="23" spans="2:13" x14ac:dyDescent="0.3">
      <c r="B23" s="23" t="s">
        <v>84</v>
      </c>
      <c r="C23" s="27"/>
      <c r="D23" s="27"/>
      <c r="E23" s="27"/>
      <c r="F23" s="27"/>
      <c r="G23" s="27"/>
      <c r="H23" s="27"/>
      <c r="I23" s="24">
        <v>0.82</v>
      </c>
      <c r="J23" s="24">
        <v>0.82</v>
      </c>
      <c r="K23" s="24">
        <v>0.82</v>
      </c>
      <c r="L23" s="24">
        <v>0.82</v>
      </c>
      <c r="M23" s="24">
        <v>0.82</v>
      </c>
    </row>
    <row r="25" spans="2:13" x14ac:dyDescent="0.3">
      <c r="B25" s="2" t="str">
        <f>'P&amp;L'!C6</f>
        <v>Other Expenses</v>
      </c>
      <c r="C25" s="82">
        <f>'P&amp;L'!D6</f>
        <v>-9083.98</v>
      </c>
      <c r="D25" s="82">
        <f>'P&amp;L'!E6</f>
        <v>-9852.39</v>
      </c>
      <c r="E25" s="82">
        <f>'P&amp;L'!F6</f>
        <v>-14699.91</v>
      </c>
      <c r="F25" s="82">
        <f>'P&amp;L'!G6</f>
        <v>-16697.11</v>
      </c>
      <c r="G25" s="82">
        <f>'P&amp;L'!H6</f>
        <v>-15461.48</v>
      </c>
      <c r="H25" s="82">
        <f>'P&amp;L'!I6</f>
        <v>-14825.85</v>
      </c>
      <c r="I25" s="88">
        <f>-I7*I26</f>
        <v>-19225.914400000005</v>
      </c>
      <c r="J25" s="88">
        <f>-J7*J26</f>
        <v>-21533.024128000008</v>
      </c>
      <c r="K25" s="88">
        <f>-K7*K26</f>
        <v>-24116.987023360012</v>
      </c>
      <c r="L25" s="88">
        <f>-L7*L26</f>
        <v>-27011.025466163217</v>
      </c>
      <c r="M25" s="88">
        <f>-M7*M26</f>
        <v>-30252.348522102806</v>
      </c>
    </row>
    <row r="26" spans="2:13" x14ac:dyDescent="0.3">
      <c r="B26" s="2" t="s">
        <v>99</v>
      </c>
      <c r="C26" s="26">
        <f t="shared" ref="C26:H26" si="8">-C25/C7</f>
        <v>0.12806471709181361</v>
      </c>
      <c r="D26" s="26">
        <f t="shared" si="8"/>
        <v>0.11611310845303438</v>
      </c>
      <c r="E26" s="26">
        <f t="shared" si="8"/>
        <v>0.16105423901734839</v>
      </c>
      <c r="F26" s="26">
        <f t="shared" si="8"/>
        <v>0.16599049455437062</v>
      </c>
      <c r="G26" s="26">
        <f t="shared" si="8"/>
        <v>0.13627516133751932</v>
      </c>
      <c r="H26" s="26">
        <f t="shared" si="8"/>
        <v>0.12091457558970511</v>
      </c>
      <c r="I26" s="16">
        <f>CHOOSE($C$2,I27,I28,I29)</f>
        <v>0.14000000000000001</v>
      </c>
      <c r="J26" s="16">
        <f t="shared" ref="J26:M26" si="9">CHOOSE($C$2,J27,J28,J29)</f>
        <v>0.14000000000000001</v>
      </c>
      <c r="K26" s="16">
        <f t="shared" si="9"/>
        <v>0.14000000000000001</v>
      </c>
      <c r="L26" s="16">
        <f t="shared" si="9"/>
        <v>0.14000000000000001</v>
      </c>
      <c r="M26" s="16">
        <f t="shared" si="9"/>
        <v>0.14000000000000001</v>
      </c>
    </row>
    <row r="27" spans="2:13" x14ac:dyDescent="0.3">
      <c r="B27" s="23" t="s">
        <v>83</v>
      </c>
      <c r="C27" s="27"/>
      <c r="D27" s="27"/>
      <c r="E27" s="27"/>
      <c r="F27" s="27"/>
      <c r="G27" s="27"/>
      <c r="H27" s="27"/>
      <c r="I27" s="24">
        <v>0.14000000000000001</v>
      </c>
      <c r="J27" s="24">
        <v>0.14000000000000001</v>
      </c>
      <c r="K27" s="24">
        <v>0.14000000000000001</v>
      </c>
      <c r="L27" s="24">
        <v>0.14000000000000001</v>
      </c>
      <c r="M27" s="24">
        <v>0.14000000000000001</v>
      </c>
    </row>
    <row r="28" spans="2:13" x14ac:dyDescent="0.3">
      <c r="B28" s="23" t="s">
        <v>85</v>
      </c>
      <c r="C28" s="27"/>
      <c r="D28" s="27"/>
      <c r="E28" s="27"/>
      <c r="F28" s="27"/>
      <c r="G28" s="27"/>
      <c r="H28" s="27"/>
      <c r="I28" s="24">
        <v>0.15</v>
      </c>
      <c r="J28" s="24">
        <v>0.15</v>
      </c>
      <c r="K28" s="24">
        <v>0.15</v>
      </c>
      <c r="L28" s="24">
        <v>0.15</v>
      </c>
      <c r="M28" s="24">
        <v>0.15</v>
      </c>
    </row>
    <row r="29" spans="2:13" x14ac:dyDescent="0.3">
      <c r="B29" s="23" t="s">
        <v>84</v>
      </c>
      <c r="C29" s="27"/>
      <c r="D29" s="27"/>
      <c r="E29" s="27"/>
      <c r="F29" s="27"/>
      <c r="G29" s="27"/>
      <c r="H29" s="27"/>
      <c r="I29" s="24">
        <v>0.17</v>
      </c>
      <c r="J29" s="24">
        <v>0.17</v>
      </c>
      <c r="K29" s="24">
        <v>0.17</v>
      </c>
      <c r="L29" s="24">
        <v>0.17</v>
      </c>
      <c r="M29" s="24">
        <v>0.17</v>
      </c>
    </row>
    <row r="31" spans="2:13" x14ac:dyDescent="0.3">
      <c r="B31" s="2" t="s">
        <v>100</v>
      </c>
      <c r="C31" s="82">
        <f>'P&amp;L'!D9</f>
        <v>-659.51</v>
      </c>
      <c r="D31" s="82">
        <f>'P&amp;L'!E9</f>
        <v>-1283.4100000000001</v>
      </c>
      <c r="E31" s="82">
        <f>'P&amp;L'!F9</f>
        <v>-1130.3</v>
      </c>
      <c r="F31" s="82">
        <f>'P&amp;L'!G9</f>
        <v>-1115.51</v>
      </c>
      <c r="G31" s="82">
        <f>'P&amp;L'!H9</f>
        <v>-1346.81</v>
      </c>
      <c r="H31" s="82">
        <f>'P&amp;L'!I9</f>
        <v>-1663.28</v>
      </c>
      <c r="I31" s="88">
        <f>-I7*I32</f>
        <v>-1373.2796000000003</v>
      </c>
      <c r="J31" s="88">
        <f>-J7*J32</f>
        <v>-1538.0731520000004</v>
      </c>
      <c r="K31" s="88">
        <f>-K7*K32</f>
        <v>-1722.6419302400006</v>
      </c>
      <c r="L31" s="88">
        <f>-L7*L32</f>
        <v>-1929.3589618688011</v>
      </c>
      <c r="M31" s="88">
        <f>-M7*M32</f>
        <v>-2160.8820372930572</v>
      </c>
    </row>
    <row r="32" spans="2:13" x14ac:dyDescent="0.3">
      <c r="B32" s="2" t="s">
        <v>99</v>
      </c>
      <c r="C32" s="26">
        <f t="shared" ref="C32:H32" si="10">-C31/C7</f>
        <v>9.2976824661901505E-3</v>
      </c>
      <c r="D32" s="26">
        <f t="shared" si="10"/>
        <v>1.5125337559689462E-2</v>
      </c>
      <c r="E32" s="26">
        <f t="shared" si="10"/>
        <v>1.2383722509954747E-2</v>
      </c>
      <c r="F32" s="26">
        <f t="shared" si="10"/>
        <v>1.1089587154923574E-2</v>
      </c>
      <c r="G32" s="26">
        <f t="shared" si="10"/>
        <v>1.1870580956091163E-2</v>
      </c>
      <c r="H32" s="26">
        <f t="shared" si="10"/>
        <v>1.3565144344968061E-2</v>
      </c>
      <c r="I32" s="16">
        <f>CHOOSE($C$2,I33,I34,I35)</f>
        <v>0.01</v>
      </c>
      <c r="J32" s="16">
        <f t="shared" ref="J32:M32" si="11">CHOOSE($C$2,J33,J34,J35)</f>
        <v>0.01</v>
      </c>
      <c r="K32" s="16">
        <f t="shared" si="11"/>
        <v>0.01</v>
      </c>
      <c r="L32" s="16">
        <f t="shared" si="11"/>
        <v>0.01</v>
      </c>
      <c r="M32" s="16">
        <f t="shared" si="11"/>
        <v>0.01</v>
      </c>
    </row>
    <row r="33" spans="2:13" x14ac:dyDescent="0.3">
      <c r="B33" s="23" t="s">
        <v>83</v>
      </c>
      <c r="C33" s="27"/>
      <c r="D33" s="27"/>
      <c r="E33" s="27"/>
      <c r="F33" s="27"/>
      <c r="G33" s="27"/>
      <c r="H33" s="27"/>
      <c r="I33" s="24">
        <v>0.01</v>
      </c>
      <c r="J33" s="16">
        <v>0.01</v>
      </c>
      <c r="K33" s="16">
        <v>0.01</v>
      </c>
      <c r="L33" s="16">
        <v>0.01</v>
      </c>
      <c r="M33" s="16">
        <v>0.01</v>
      </c>
    </row>
    <row r="34" spans="2:13" x14ac:dyDescent="0.3">
      <c r="B34" s="23" t="s">
        <v>85</v>
      </c>
      <c r="C34" s="27"/>
      <c r="D34" s="27"/>
      <c r="E34" s="27"/>
      <c r="F34" s="27"/>
      <c r="G34" s="27"/>
      <c r="H34" s="27"/>
      <c r="I34" s="24">
        <v>0.02</v>
      </c>
      <c r="J34" s="16">
        <v>0.02</v>
      </c>
      <c r="K34" s="16">
        <v>0.02</v>
      </c>
      <c r="L34" s="16">
        <v>0.02</v>
      </c>
      <c r="M34" s="16">
        <v>0.02</v>
      </c>
    </row>
    <row r="35" spans="2:13" x14ac:dyDescent="0.3">
      <c r="B35" s="23" t="s">
        <v>84</v>
      </c>
      <c r="C35" s="27"/>
      <c r="D35" s="27"/>
      <c r="E35" s="27"/>
      <c r="F35" s="27"/>
      <c r="G35" s="27"/>
      <c r="H35" s="27"/>
      <c r="I35" s="24">
        <v>0.03</v>
      </c>
      <c r="J35" s="16">
        <v>0.03</v>
      </c>
      <c r="K35" s="16">
        <v>0.03</v>
      </c>
      <c r="L35" s="16">
        <v>0.03</v>
      </c>
      <c r="M35" s="16">
        <v>0.03</v>
      </c>
    </row>
    <row r="37" spans="2:13" x14ac:dyDescent="0.3">
      <c r="B37" s="2" t="s">
        <v>112</v>
      </c>
      <c r="C37" s="26">
        <v>0.34610000000000002</v>
      </c>
      <c r="D37" s="26">
        <v>0.34610000000000002</v>
      </c>
      <c r="E37" s="26">
        <v>0.34610000000000002</v>
      </c>
      <c r="F37" s="26">
        <v>0.34610000000000002</v>
      </c>
      <c r="G37" s="26">
        <v>0.25169999999999998</v>
      </c>
      <c r="H37" s="26">
        <v>0.25169999999999998</v>
      </c>
      <c r="I37" s="16">
        <f>CHOOSE($C$2,I38,I39,I40)</f>
        <v>0.25</v>
      </c>
      <c r="J37" s="16">
        <f t="shared" ref="J37" si="12">CHOOSE($C$2,J38,J39,J40)</f>
        <v>0.25</v>
      </c>
      <c r="K37" s="16">
        <f t="shared" ref="K37" si="13">CHOOSE($C$2,K38,K39,K40)</f>
        <v>0.25</v>
      </c>
      <c r="L37" s="16">
        <f t="shared" ref="L37" si="14">CHOOSE($C$2,L38,L39,L40)</f>
        <v>0.25</v>
      </c>
      <c r="M37" s="16">
        <f t="shared" ref="M37" si="15">CHOOSE($C$2,M38,M39,M40)</f>
        <v>0.25</v>
      </c>
    </row>
    <row r="38" spans="2:13" x14ac:dyDescent="0.3">
      <c r="B38" s="23" t="s">
        <v>83</v>
      </c>
      <c r="C38" s="27"/>
      <c r="D38" s="27"/>
      <c r="E38" s="27"/>
      <c r="F38" s="27"/>
      <c r="G38" s="27"/>
      <c r="H38" s="27"/>
      <c r="I38" s="24">
        <v>0.25</v>
      </c>
      <c r="J38" s="16">
        <v>0.25</v>
      </c>
      <c r="K38" s="16">
        <v>0.25</v>
      </c>
      <c r="L38" s="16">
        <v>0.25</v>
      </c>
      <c r="M38" s="16">
        <v>0.25</v>
      </c>
    </row>
    <row r="39" spans="2:13" x14ac:dyDescent="0.3">
      <c r="B39" s="23" t="s">
        <v>85</v>
      </c>
      <c r="C39" s="27"/>
      <c r="D39" s="27"/>
      <c r="E39" s="27"/>
      <c r="F39" s="27"/>
      <c r="G39" s="27"/>
      <c r="H39" s="27"/>
      <c r="I39" s="24">
        <v>0.31</v>
      </c>
      <c r="J39" s="16">
        <v>0.31</v>
      </c>
      <c r="K39" s="16">
        <v>0.31</v>
      </c>
      <c r="L39" s="16">
        <v>0.31</v>
      </c>
      <c r="M39" s="16">
        <v>0.31</v>
      </c>
    </row>
    <row r="40" spans="2:13" x14ac:dyDescent="0.3">
      <c r="B40" s="23" t="s">
        <v>84</v>
      </c>
      <c r="C40" s="27"/>
      <c r="D40" s="27"/>
      <c r="E40" s="27"/>
      <c r="F40" s="27"/>
      <c r="G40" s="27"/>
      <c r="H40" s="27"/>
      <c r="I40" s="24">
        <v>0.35</v>
      </c>
      <c r="J40" s="16">
        <v>0.35</v>
      </c>
      <c r="K40" s="16">
        <v>0.35</v>
      </c>
      <c r="L40" s="16">
        <v>0.35</v>
      </c>
      <c r="M40" s="16">
        <v>0.35</v>
      </c>
    </row>
    <row r="42" spans="2:13" x14ac:dyDescent="0.3">
      <c r="B42" s="2" t="s">
        <v>161</v>
      </c>
      <c r="C42" s="82">
        <f>'P&amp;L'!D15</f>
        <v>2095.2500000000014</v>
      </c>
      <c r="D42" s="82">
        <f>'P&amp;L'!E15</f>
        <v>2890.7099999999932</v>
      </c>
      <c r="E42" s="82">
        <f>'P&amp;L'!F15</f>
        <v>4825.9400000000023</v>
      </c>
      <c r="F42" s="82">
        <f>'P&amp;L'!G15</f>
        <v>3438.6099999999906</v>
      </c>
      <c r="G42" s="82">
        <f>'P&amp;L'!H15</f>
        <v>2849.100000000004</v>
      </c>
      <c r="H42" s="82">
        <f>'P&amp;L'!I15</f>
        <v>2719.1499999999846</v>
      </c>
      <c r="I42" s="82">
        <f>I43*I7</f>
        <v>4119.8388000000004</v>
      </c>
      <c r="J42" s="82">
        <f>J43*J7</f>
        <v>4614.2194560000007</v>
      </c>
      <c r="K42" s="82">
        <f>K43*K7</f>
        <v>5167.9257907200017</v>
      </c>
      <c r="L42" s="82">
        <f>L43*L7</f>
        <v>5788.0768856064024</v>
      </c>
      <c r="M42" s="82">
        <f>M43*M7</f>
        <v>6482.6461118791722</v>
      </c>
    </row>
    <row r="43" spans="2:13" x14ac:dyDescent="0.3">
      <c r="B43" s="2" t="s">
        <v>97</v>
      </c>
      <c r="C43" s="26">
        <f t="shared" ref="C43:H43" si="16">C42/C7</f>
        <v>2.9538550116427233E-2</v>
      </c>
      <c r="D43" s="26">
        <f t="shared" si="16"/>
        <v>3.4067807276840466E-2</v>
      </c>
      <c r="E43" s="26">
        <f t="shared" si="16"/>
        <v>5.2873663460754707E-2</v>
      </c>
      <c r="F43" s="26">
        <f t="shared" si="16"/>
        <v>3.4184153693639363E-2</v>
      </c>
      <c r="G43" s="26">
        <f t="shared" si="16"/>
        <v>2.5111539268344741E-2</v>
      </c>
      <c r="H43" s="26">
        <f t="shared" si="16"/>
        <v>2.2176459913916896E-2</v>
      </c>
      <c r="I43" s="16">
        <f>CHOOSE($C$2,I44,I45,I46)</f>
        <v>0.03</v>
      </c>
      <c r="J43" s="16">
        <f t="shared" ref="J43:M43" si="17">CHOOSE($C$2,J44,J45,J46)</f>
        <v>0.03</v>
      </c>
      <c r="K43" s="16">
        <f t="shared" si="17"/>
        <v>0.03</v>
      </c>
      <c r="L43" s="16">
        <f t="shared" si="17"/>
        <v>0.03</v>
      </c>
      <c r="M43" s="16">
        <f t="shared" si="17"/>
        <v>0.03</v>
      </c>
    </row>
    <row r="44" spans="2:13" x14ac:dyDescent="0.3">
      <c r="B44" s="23" t="s">
        <v>83</v>
      </c>
      <c r="C44" s="27"/>
      <c r="D44" s="27"/>
      <c r="E44" s="27"/>
      <c r="F44" s="27"/>
      <c r="G44" s="27"/>
      <c r="H44" s="27"/>
      <c r="I44" s="24">
        <v>0.03</v>
      </c>
      <c r="J44" s="24">
        <v>0.03</v>
      </c>
      <c r="K44" s="24">
        <v>0.03</v>
      </c>
      <c r="L44" s="24">
        <v>0.03</v>
      </c>
      <c r="M44" s="24">
        <v>0.03</v>
      </c>
    </row>
    <row r="45" spans="2:13" x14ac:dyDescent="0.3">
      <c r="B45" s="23" t="s">
        <v>85</v>
      </c>
      <c r="C45" s="27"/>
      <c r="D45" s="27"/>
      <c r="E45" s="27"/>
      <c r="F45" s="27"/>
      <c r="G45" s="27"/>
      <c r="H45" s="27"/>
      <c r="I45" s="24">
        <v>0.02</v>
      </c>
      <c r="J45" s="24">
        <v>0.02</v>
      </c>
      <c r="K45" s="24">
        <v>0.02</v>
      </c>
      <c r="L45" s="24">
        <v>0.02</v>
      </c>
      <c r="M45" s="24">
        <v>0.02</v>
      </c>
    </row>
    <row r="46" spans="2:13" x14ac:dyDescent="0.3">
      <c r="B46" s="23" t="s">
        <v>84</v>
      </c>
      <c r="C46" s="27"/>
      <c r="D46" s="27"/>
      <c r="E46" s="27"/>
      <c r="F46" s="27"/>
      <c r="G46" s="27"/>
      <c r="H46" s="27"/>
      <c r="I46" s="24">
        <v>0.01</v>
      </c>
      <c r="J46" s="24">
        <v>0.01</v>
      </c>
      <c r="K46" s="24">
        <v>0.01</v>
      </c>
      <c r="L46" s="24">
        <v>0.01</v>
      </c>
      <c r="M46" s="24">
        <v>0.01</v>
      </c>
    </row>
    <row r="48" spans="2:13" x14ac:dyDescent="0.3">
      <c r="B48" s="2" t="s">
        <v>50</v>
      </c>
      <c r="C48" s="82">
        <f>'P&amp;L'!D17</f>
        <v>2146.7900000000013</v>
      </c>
      <c r="D48" s="82">
        <f>'P&amp;L'!E17</f>
        <v>2254.5299999999934</v>
      </c>
      <c r="E48" s="82">
        <f>'P&amp;L'!F17</f>
        <v>3672.1000000000022</v>
      </c>
      <c r="F48" s="82">
        <f>'P&amp;L'!G17</f>
        <v>3259.2699999999904</v>
      </c>
      <c r="G48" s="82">
        <f>'P&amp;L'!H17</f>
        <v>3465.0200000000041</v>
      </c>
      <c r="H48" s="82">
        <f>'P&amp;L'!I17</f>
        <v>1900.3999999999846</v>
      </c>
      <c r="I48" s="82">
        <f>I7*I49</f>
        <v>4119.8388000000004</v>
      </c>
      <c r="J48" s="82">
        <f>J7*J49</f>
        <v>4614.2194560000007</v>
      </c>
      <c r="K48" s="82">
        <f>K7*K49</f>
        <v>5167.9257907200017</v>
      </c>
      <c r="L48" s="82">
        <f>L7*L49</f>
        <v>5788.0768856064024</v>
      </c>
      <c r="M48" s="82">
        <f>M7*M49</f>
        <v>6482.6461118791722</v>
      </c>
    </row>
    <row r="49" spans="2:13" x14ac:dyDescent="0.3">
      <c r="B49" s="2" t="s">
        <v>97</v>
      </c>
      <c r="C49" s="26">
        <f t="shared" ref="C49:H49" si="18">C48/C7</f>
        <v>3.0265154041018885E-2</v>
      </c>
      <c r="D49" s="26">
        <f t="shared" si="18"/>
        <v>2.6570252131779076E-2</v>
      </c>
      <c r="E49" s="26">
        <f t="shared" si="18"/>
        <v>4.0232033467933165E-2</v>
      </c>
      <c r="F49" s="26">
        <f t="shared" si="18"/>
        <v>3.240128616187004E-2</v>
      </c>
      <c r="G49" s="26">
        <f t="shared" si="18"/>
        <v>3.054016559460878E-2</v>
      </c>
      <c r="H49" s="26">
        <f t="shared" si="18"/>
        <v>1.5499014184729626E-2</v>
      </c>
      <c r="I49" s="16">
        <f>CHOOSE($C$2,I50,I51,I52)</f>
        <v>0.03</v>
      </c>
      <c r="J49" s="16">
        <f t="shared" ref="J49:M49" si="19">CHOOSE($C$2,J50,J51,J52)</f>
        <v>0.03</v>
      </c>
      <c r="K49" s="16">
        <f t="shared" si="19"/>
        <v>0.03</v>
      </c>
      <c r="L49" s="16">
        <f t="shared" si="19"/>
        <v>0.03</v>
      </c>
      <c r="M49" s="16">
        <f t="shared" si="19"/>
        <v>0.03</v>
      </c>
    </row>
    <row r="50" spans="2:13" x14ac:dyDescent="0.3">
      <c r="B50" s="23" t="s">
        <v>83</v>
      </c>
      <c r="C50" s="27"/>
      <c r="D50" s="27"/>
      <c r="E50" s="27"/>
      <c r="F50" s="27"/>
      <c r="G50" s="27"/>
      <c r="H50" s="27"/>
      <c r="I50" s="24">
        <v>0.03</v>
      </c>
      <c r="J50" s="24">
        <v>0.03</v>
      </c>
      <c r="K50" s="24">
        <v>0.03</v>
      </c>
      <c r="L50" s="24">
        <v>0.03</v>
      </c>
      <c r="M50" s="24">
        <v>0.03</v>
      </c>
    </row>
    <row r="51" spans="2:13" x14ac:dyDescent="0.3">
      <c r="B51" s="23" t="s">
        <v>85</v>
      </c>
      <c r="C51" s="27"/>
      <c r="D51" s="27"/>
      <c r="E51" s="27"/>
      <c r="F51" s="27"/>
      <c r="G51" s="27"/>
      <c r="H51" s="27"/>
      <c r="I51" s="24">
        <v>0.02</v>
      </c>
      <c r="J51" s="24">
        <v>0.02</v>
      </c>
      <c r="K51" s="24">
        <v>0.02</v>
      </c>
      <c r="L51" s="24">
        <v>0.02</v>
      </c>
      <c r="M51" s="24">
        <v>0.02</v>
      </c>
    </row>
    <row r="52" spans="2:13" x14ac:dyDescent="0.3">
      <c r="B52" s="23" t="s">
        <v>84</v>
      </c>
      <c r="C52" s="27"/>
      <c r="D52" s="27"/>
      <c r="E52" s="27"/>
      <c r="F52" s="27"/>
      <c r="G52" s="27"/>
      <c r="H52" s="27"/>
      <c r="I52" s="24">
        <v>0.01</v>
      </c>
      <c r="J52" s="24">
        <v>0.01</v>
      </c>
      <c r="K52" s="24">
        <v>0.01</v>
      </c>
      <c r="L52" s="24">
        <v>0.01</v>
      </c>
      <c r="M52" s="24">
        <v>0.01</v>
      </c>
    </row>
  </sheetData>
  <mergeCells count="2">
    <mergeCell ref="I5:M5"/>
    <mergeCell ref="C5:H5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10BB-FF35-4095-B7B4-6303A9322B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FC30-5B45-4CF4-AA6E-D50733BFF35C}">
  <dimension ref="B2:N12"/>
  <sheetViews>
    <sheetView showGridLines="0" workbookViewId="0">
      <selection activeCell="H9" sqref="H9"/>
    </sheetView>
  </sheetViews>
  <sheetFormatPr defaultRowHeight="14.4" x14ac:dyDescent="0.3"/>
  <cols>
    <col min="2" max="2" width="29.21875" bestFit="1" customWidth="1"/>
    <col min="3" max="3" width="10" bestFit="1" customWidth="1"/>
    <col min="4" max="7" width="11" bestFit="1" customWidth="1"/>
    <col min="8" max="8" width="10.44140625" bestFit="1" customWidth="1"/>
    <col min="9" max="13" width="11" bestFit="1" customWidth="1"/>
    <col min="15" max="16" width="14.44140625" bestFit="1" customWidth="1"/>
  </cols>
  <sheetData>
    <row r="2" spans="2:14" x14ac:dyDescent="0.3">
      <c r="B2" s="7"/>
      <c r="C2" s="108" t="s">
        <v>96</v>
      </c>
      <c r="D2" s="108"/>
      <c r="E2" s="108"/>
      <c r="F2" s="108"/>
      <c r="G2" s="108"/>
      <c r="H2" s="108"/>
      <c r="I2" s="109" t="s">
        <v>95</v>
      </c>
      <c r="J2" s="109"/>
      <c r="K2" s="109"/>
      <c r="L2" s="109"/>
      <c r="M2" s="109"/>
    </row>
    <row r="3" spans="2:14" x14ac:dyDescent="0.3">
      <c r="B3" s="7" t="s">
        <v>2</v>
      </c>
      <c r="C3" s="32" t="s">
        <v>80</v>
      </c>
      <c r="D3" s="32" t="s">
        <v>81</v>
      </c>
      <c r="E3" s="32" t="s">
        <v>172</v>
      </c>
      <c r="F3" s="32" t="s">
        <v>173</v>
      </c>
      <c r="G3" s="32" t="s">
        <v>174</v>
      </c>
      <c r="H3" s="32" t="s">
        <v>175</v>
      </c>
      <c r="I3" s="38" t="s">
        <v>94</v>
      </c>
      <c r="J3" s="38" t="s">
        <v>177</v>
      </c>
      <c r="K3" s="38" t="s">
        <v>178</v>
      </c>
      <c r="L3" s="38" t="s">
        <v>179</v>
      </c>
      <c r="M3" s="38" t="s">
        <v>180</v>
      </c>
      <c r="N3" s="22"/>
    </row>
    <row r="4" spans="2:14" x14ac:dyDescent="0.3">
      <c r="B4" s="2" t="s">
        <v>116</v>
      </c>
      <c r="C4" s="86"/>
      <c r="D4" s="86">
        <f>C7</f>
        <v>1742.07</v>
      </c>
      <c r="E4" s="86">
        <f t="shared" ref="E4:H4" si="0">D7</f>
        <v>2662.12</v>
      </c>
      <c r="F4" s="86">
        <f t="shared" si="0"/>
        <v>2564.11</v>
      </c>
      <c r="G4" s="86">
        <f t="shared" si="0"/>
        <v>2791.81</v>
      </c>
      <c r="H4" s="86">
        <f t="shared" si="0"/>
        <v>3105.88</v>
      </c>
      <c r="I4" s="87">
        <f>H7</f>
        <v>3734.96</v>
      </c>
      <c r="J4" s="87">
        <f t="shared" ref="J4:M4" si="1">I7</f>
        <v>4183.1552000000011</v>
      </c>
      <c r="K4" s="87">
        <f t="shared" si="1"/>
        <v>4685.1338240000014</v>
      </c>
      <c r="L4" s="87">
        <f t="shared" si="1"/>
        <v>5247.349882880002</v>
      </c>
      <c r="M4" s="87">
        <f t="shared" si="1"/>
        <v>5877.0318688256029</v>
      </c>
    </row>
    <row r="5" spans="2:14" x14ac:dyDescent="0.3">
      <c r="B5" s="2" t="s">
        <v>117</v>
      </c>
      <c r="C5" s="86">
        <f>'P&amp;L Output'!C10</f>
        <v>-659.51</v>
      </c>
      <c r="D5" s="86">
        <f>'P&amp;L Output'!D10</f>
        <v>-1283.4100000000001</v>
      </c>
      <c r="E5" s="86">
        <f>'P&amp;L Output'!E10</f>
        <v>-1130.3</v>
      </c>
      <c r="F5" s="86">
        <f>'P&amp;L Output'!F10</f>
        <v>-1115.51</v>
      </c>
      <c r="G5" s="86">
        <f>'P&amp;L Output'!G10</f>
        <v>-1346.81</v>
      </c>
      <c r="H5" s="86">
        <f>'P&amp;L Output'!H10</f>
        <v>-1663.28</v>
      </c>
      <c r="I5" s="87">
        <f>'P&amp;L Output'!I10</f>
        <v>-1373.2796000000003</v>
      </c>
      <c r="J5" s="87">
        <f>'P&amp;L Output'!J10</f>
        <v>-1538.0731520000004</v>
      </c>
      <c r="K5" s="87">
        <f>'P&amp;L Output'!K10</f>
        <v>-1722.6419302400006</v>
      </c>
      <c r="L5" s="87">
        <f>'P&amp;L Output'!L10</f>
        <v>-1929.3589618688011</v>
      </c>
      <c r="M5" s="87">
        <f>'P&amp;L Output'!M10</f>
        <v>-2160.8820372930572</v>
      </c>
    </row>
    <row r="6" spans="2:14" x14ac:dyDescent="0.3">
      <c r="B6" s="2" t="s">
        <v>56</v>
      </c>
      <c r="C6" s="86"/>
      <c r="D6" s="86">
        <f t="shared" ref="D6:H6" si="2">D7-D4-D5</f>
        <v>2203.46</v>
      </c>
      <c r="E6" s="86">
        <f t="shared" si="2"/>
        <v>1032.2900000000002</v>
      </c>
      <c r="F6" s="86">
        <f t="shared" si="2"/>
        <v>1343.2099999999998</v>
      </c>
      <c r="G6" s="86">
        <f t="shared" si="2"/>
        <v>1660.88</v>
      </c>
      <c r="H6" s="86">
        <f t="shared" si="2"/>
        <v>2292.3599999999997</v>
      </c>
      <c r="I6" s="87">
        <f>I7-I4-I5</f>
        <v>1821.4748000000013</v>
      </c>
      <c r="J6" s="87">
        <f t="shared" ref="J6:M6" si="3">J7-J4-J5</f>
        <v>2040.0517760000007</v>
      </c>
      <c r="K6" s="87">
        <f t="shared" si="3"/>
        <v>2284.8579891200015</v>
      </c>
      <c r="L6" s="87">
        <f t="shared" si="3"/>
        <v>2559.040947814402</v>
      </c>
      <c r="M6" s="87">
        <f t="shared" si="3"/>
        <v>2866.1258615521306</v>
      </c>
    </row>
    <row r="7" spans="2:14" x14ac:dyDescent="0.3">
      <c r="B7" s="2" t="s">
        <v>118</v>
      </c>
      <c r="C7" s="86">
        <f>'Balancesheet Assumptions'!C15</f>
        <v>1742.07</v>
      </c>
      <c r="D7" s="86">
        <f>'Balancesheet Assumptions'!D15</f>
        <v>2662.12</v>
      </c>
      <c r="E7" s="86">
        <f>'Balancesheet Assumptions'!E15</f>
        <v>2564.11</v>
      </c>
      <c r="F7" s="86">
        <f>'Balancesheet Assumptions'!F15</f>
        <v>2791.81</v>
      </c>
      <c r="G7" s="86">
        <f>'Balancesheet Assumptions'!G15</f>
        <v>3105.88</v>
      </c>
      <c r="H7" s="86">
        <f>'Balancesheet Assumptions'!H15</f>
        <v>3734.96</v>
      </c>
      <c r="I7" s="87">
        <f>'Balancesheet Assumptions'!I15</f>
        <v>4183.1552000000011</v>
      </c>
      <c r="J7" s="87">
        <f>'Balancesheet Assumptions'!J15</f>
        <v>4685.1338240000014</v>
      </c>
      <c r="K7" s="87">
        <f>'Balancesheet Assumptions'!K15</f>
        <v>5247.349882880002</v>
      </c>
      <c r="L7" s="87">
        <f>'Balancesheet Assumptions'!L15</f>
        <v>5877.0318688256029</v>
      </c>
      <c r="M7" s="87">
        <f>'Balancesheet Assumptions'!M15</f>
        <v>6582.2756930846763</v>
      </c>
    </row>
    <row r="8" spans="2:14" x14ac:dyDescent="0.3">
      <c r="B8" s="2" t="s">
        <v>119</v>
      </c>
      <c r="C8" s="86">
        <f>'Balancesheet Assumptions'!C4</f>
        <v>9529.61</v>
      </c>
      <c r="D8" s="86">
        <f>'Balancesheet Assumptions'!D4</f>
        <v>11749.68</v>
      </c>
      <c r="E8" s="86">
        <f>'Balancesheet Assumptions'!E4</f>
        <v>12430.13</v>
      </c>
      <c r="F8" s="86">
        <f>'Balancesheet Assumptions'!F4</f>
        <v>13912.96</v>
      </c>
      <c r="G8" s="86">
        <f>'Balancesheet Assumptions'!G4</f>
        <v>16777.060000000001</v>
      </c>
      <c r="H8" s="86">
        <f>'Balancesheet Assumptions'!H4</f>
        <v>18858.46</v>
      </c>
      <c r="I8" s="87">
        <f>'Balancesheet Assumptions'!I4</f>
        <v>21121.475200000004</v>
      </c>
      <c r="J8" s="87">
        <f>'Balancesheet Assumptions'!J4</f>
        <v>23656.052224000006</v>
      </c>
      <c r="K8" s="87">
        <f>'Balancesheet Assumptions'!K4</f>
        <v>26494.778490880009</v>
      </c>
      <c r="L8" s="87">
        <f>'Balancesheet Assumptions'!L4</f>
        <v>29674.151909785614</v>
      </c>
      <c r="M8" s="87">
        <f>'Balancesheet Assumptions'!M4</f>
        <v>33235.050138959894</v>
      </c>
    </row>
    <row r="9" spans="2:14" x14ac:dyDescent="0.3">
      <c r="B9" s="2" t="s">
        <v>103</v>
      </c>
      <c r="C9" s="86">
        <f>'Balancesheet Assumptions'!C10</f>
        <v>253.61</v>
      </c>
      <c r="D9" s="86">
        <f>'Balancesheet Assumptions'!D10</f>
        <v>338.59</v>
      </c>
      <c r="E9" s="86">
        <f>'Balancesheet Assumptions'!E10</f>
        <v>308.93</v>
      </c>
      <c r="F9" s="86">
        <f>'Balancesheet Assumptions'!F10</f>
        <v>340.25</v>
      </c>
      <c r="G9" s="86">
        <f>'Balancesheet Assumptions'!G10</f>
        <v>314.27999999999997</v>
      </c>
      <c r="H9" s="86">
        <f>'Balancesheet Assumptions'!H10</f>
        <v>309.02999999999997</v>
      </c>
      <c r="I9" s="87">
        <f>'Balancesheet Assumptions'!I10</f>
        <v>293.00638975130835</v>
      </c>
      <c r="J9" s="87">
        <f>'Balancesheet Assumptions'!J10</f>
        <v>328.16715652146542</v>
      </c>
      <c r="K9" s="87">
        <f>'Balancesheet Assumptions'!K10</f>
        <v>367.54721530404129</v>
      </c>
      <c r="L9" s="87">
        <f>'Balancesheet Assumptions'!L10</f>
        <v>411.65288114052629</v>
      </c>
      <c r="M9" s="87">
        <f>'Balancesheet Assumptions'!M10</f>
        <v>461.05122687738947</v>
      </c>
    </row>
    <row r="10" spans="2:14" x14ac:dyDescent="0.3">
      <c r="B10" s="2" t="s">
        <v>102</v>
      </c>
      <c r="C10" s="86">
        <f>'Balancesheet Assumptions'!C7</f>
        <v>661.42</v>
      </c>
      <c r="D10" s="86">
        <f>'Balancesheet Assumptions'!D7</f>
        <v>538.04999999999995</v>
      </c>
      <c r="E10" s="86">
        <f>'Balancesheet Assumptions'!E7</f>
        <v>661.47</v>
      </c>
      <c r="F10" s="86">
        <f>'Balancesheet Assumptions'!F7</f>
        <v>582.61</v>
      </c>
      <c r="G10" s="86">
        <f>'Balancesheet Assumptions'!G7</f>
        <v>639.08000000000004</v>
      </c>
      <c r="H10" s="86">
        <f>'Balancesheet Assumptions'!H7</f>
        <v>846.89</v>
      </c>
      <c r="I10" s="87">
        <f>'Balancesheet Assumptions'!I7</f>
        <v>802.97764429500558</v>
      </c>
      <c r="J10" s="87">
        <f>'Balancesheet Assumptions'!J7</f>
        <v>899.33496161040625</v>
      </c>
      <c r="K10" s="87">
        <f>'Balancesheet Assumptions'!K7</f>
        <v>1007.2551570036552</v>
      </c>
      <c r="L10" s="87">
        <f>'Balancesheet Assumptions'!L7</f>
        <v>1128.1257758440941</v>
      </c>
      <c r="M10" s="87">
        <f>'Balancesheet Assumptions'!M7</f>
        <v>1263.5008689453853</v>
      </c>
    </row>
    <row r="11" spans="2:14" x14ac:dyDescent="0.3">
      <c r="B11" s="2" t="s">
        <v>120</v>
      </c>
      <c r="C11" s="86">
        <f>C8+C9-C10</f>
        <v>9121.8000000000011</v>
      </c>
      <c r="D11" s="86">
        <f t="shared" ref="D11:H11" si="4">D8+D9-D10</f>
        <v>11550.220000000001</v>
      </c>
      <c r="E11" s="86">
        <f t="shared" si="4"/>
        <v>12077.59</v>
      </c>
      <c r="F11" s="86">
        <f t="shared" si="4"/>
        <v>13670.599999999999</v>
      </c>
      <c r="G11" s="86">
        <f t="shared" si="4"/>
        <v>16452.259999999998</v>
      </c>
      <c r="H11" s="86">
        <f t="shared" si="4"/>
        <v>18320.599999999999</v>
      </c>
      <c r="I11" s="87">
        <f>I8+I9-I10</f>
        <v>20611.503945456308</v>
      </c>
      <c r="J11" s="87">
        <f t="shared" ref="J11:M11" si="5">J8+J9-J10</f>
        <v>23084.884418911064</v>
      </c>
      <c r="K11" s="87">
        <f t="shared" si="5"/>
        <v>25855.070549180396</v>
      </c>
      <c r="L11" s="87">
        <f t="shared" si="5"/>
        <v>28957.679015082045</v>
      </c>
      <c r="M11" s="87">
        <f t="shared" si="5"/>
        <v>32432.600496891897</v>
      </c>
    </row>
    <row r="12" spans="2:14" x14ac:dyDescent="0.3">
      <c r="B12" s="2" t="s">
        <v>121</v>
      </c>
      <c r="C12" s="86"/>
      <c r="D12" s="86">
        <f>D11-C11</f>
        <v>2428.42</v>
      </c>
      <c r="E12" s="86">
        <f t="shared" ref="E12:H12" si="6">E11-D11</f>
        <v>527.36999999999898</v>
      </c>
      <c r="F12" s="86">
        <f t="shared" si="6"/>
        <v>1593.0099999999984</v>
      </c>
      <c r="G12" s="86">
        <f t="shared" si="6"/>
        <v>2781.66</v>
      </c>
      <c r="H12" s="86">
        <f t="shared" si="6"/>
        <v>1868.3400000000001</v>
      </c>
      <c r="I12" s="87">
        <f>I11-H11</f>
        <v>2290.9039454563099</v>
      </c>
      <c r="J12" s="87">
        <f t="shared" ref="J12" si="7">J11-I11</f>
        <v>2473.3804734547557</v>
      </c>
      <c r="K12" s="87">
        <f t="shared" ref="K12" si="8">K11-J11</f>
        <v>2770.1861302693324</v>
      </c>
      <c r="L12" s="87">
        <f t="shared" ref="L12" si="9">L11-K11</f>
        <v>3102.6084659016487</v>
      </c>
      <c r="M12" s="87">
        <f t="shared" ref="M12" si="10">M11-L11</f>
        <v>3474.9214818098517</v>
      </c>
    </row>
  </sheetData>
  <mergeCells count="2">
    <mergeCell ref="C2:H2"/>
    <mergeCell ref="I2:M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A2B7-5988-447A-8858-CC3E31814C74}">
  <dimension ref="B2:N14"/>
  <sheetViews>
    <sheetView showGridLines="0" workbookViewId="0">
      <selection activeCell="C4" sqref="C4:M9"/>
    </sheetView>
  </sheetViews>
  <sheetFormatPr defaultRowHeight="14.4" x14ac:dyDescent="0.3"/>
  <cols>
    <col min="2" max="2" width="29.21875" bestFit="1" customWidth="1"/>
    <col min="3" max="3" width="10" bestFit="1" customWidth="1"/>
    <col min="4" max="7" width="11" bestFit="1" customWidth="1"/>
    <col min="8" max="8" width="10.109375" bestFit="1" customWidth="1"/>
    <col min="9" max="13" width="11" bestFit="1" customWidth="1"/>
    <col min="15" max="16" width="14.44140625" bestFit="1" customWidth="1"/>
  </cols>
  <sheetData>
    <row r="2" spans="2:14" x14ac:dyDescent="0.3">
      <c r="B2" s="7"/>
      <c r="C2" s="108" t="s">
        <v>96</v>
      </c>
      <c r="D2" s="108"/>
      <c r="E2" s="108"/>
      <c r="F2" s="108"/>
      <c r="G2" s="108"/>
      <c r="H2" s="108"/>
      <c r="I2" s="109" t="s">
        <v>95</v>
      </c>
      <c r="J2" s="109"/>
      <c r="K2" s="109"/>
      <c r="L2" s="109"/>
      <c r="M2" s="109"/>
    </row>
    <row r="3" spans="2:14" x14ac:dyDescent="0.3">
      <c r="B3" s="7" t="s">
        <v>2</v>
      </c>
      <c r="C3" s="32" t="s">
        <v>76</v>
      </c>
      <c r="D3" s="32" t="s">
        <v>77</v>
      </c>
      <c r="E3" s="32" t="s">
        <v>78</v>
      </c>
      <c r="F3" s="32" t="s">
        <v>79</v>
      </c>
      <c r="G3" s="32" t="s">
        <v>80</v>
      </c>
      <c r="H3" s="32" t="s">
        <v>81</v>
      </c>
      <c r="I3" s="38" t="s">
        <v>90</v>
      </c>
      <c r="J3" s="38" t="s">
        <v>91</v>
      </c>
      <c r="K3" s="38" t="s">
        <v>92</v>
      </c>
      <c r="L3" s="38" t="s">
        <v>93</v>
      </c>
      <c r="M3" s="38" t="s">
        <v>94</v>
      </c>
      <c r="N3" s="22"/>
    </row>
    <row r="4" spans="2:14" x14ac:dyDescent="0.3">
      <c r="B4" s="2" t="s">
        <v>122</v>
      </c>
      <c r="C4" s="82">
        <f>'P&amp;L Output'!C14</f>
        <v>1956.5145730000008</v>
      </c>
      <c r="D4" s="82">
        <f>'P&amp;L Output'!D14</f>
        <v>2563.6280279999955</v>
      </c>
      <c r="E4" s="82">
        <f>'P&amp;L Output'!E14</f>
        <v>2666.2772500000019</v>
      </c>
      <c r="F4" s="82">
        <f>'P&amp;L Output'!F14</f>
        <v>2530.2529719999939</v>
      </c>
      <c r="G4" s="82">
        <f>'P&amp;L Output'!G14</f>
        <v>2670.278618000003</v>
      </c>
      <c r="H4" s="82">
        <f>'P&amp;L Output'!H14</f>
        <v>3128.8293749999884</v>
      </c>
      <c r="I4" s="82">
        <f>'P&amp;L Output'!I14</f>
        <v>4119.8387999999904</v>
      </c>
      <c r="J4" s="82">
        <f>'P&amp;L Output'!J14</f>
        <v>4614.2194559999889</v>
      </c>
      <c r="K4" s="82">
        <f>'P&amp;L Output'!K14</f>
        <v>5167.9257907199881</v>
      </c>
      <c r="L4" s="82">
        <f>'P&amp;L Output'!L14</f>
        <v>5788.0768856064151</v>
      </c>
      <c r="M4" s="82">
        <f>'P&amp;L Output'!M14</f>
        <v>6482.6461118791649</v>
      </c>
    </row>
    <row r="5" spans="2:14" x14ac:dyDescent="0.3">
      <c r="B5" s="2" t="s">
        <v>111</v>
      </c>
      <c r="C5" s="82">
        <f>-'P&amp;L Assumptions'!C31</f>
        <v>659.51</v>
      </c>
      <c r="D5" s="82">
        <f>-'P&amp;L Assumptions'!D31</f>
        <v>1283.4100000000001</v>
      </c>
      <c r="E5" s="82">
        <f>-'P&amp;L Assumptions'!E31</f>
        <v>1130.3</v>
      </c>
      <c r="F5" s="82">
        <f>-'P&amp;L Assumptions'!F31</f>
        <v>1115.51</v>
      </c>
      <c r="G5" s="82">
        <f>-'P&amp;L Assumptions'!G31</f>
        <v>1346.81</v>
      </c>
      <c r="H5" s="82">
        <f>-'P&amp;L Assumptions'!H31</f>
        <v>1663.28</v>
      </c>
      <c r="I5" s="82">
        <f>-'P&amp;L Assumptions'!I31</f>
        <v>1373.2796000000003</v>
      </c>
      <c r="J5" s="82">
        <f>-'P&amp;L Assumptions'!J31</f>
        <v>1538.0731520000004</v>
      </c>
      <c r="K5" s="82">
        <f>-'P&amp;L Assumptions'!K31</f>
        <v>1722.6419302400006</v>
      </c>
      <c r="L5" s="82">
        <f>-'P&amp;L Assumptions'!L31</f>
        <v>1929.3589618688011</v>
      </c>
      <c r="M5" s="82">
        <f>-'P&amp;L Assumptions'!M31</f>
        <v>2160.8820372930572</v>
      </c>
    </row>
    <row r="6" spans="2:14" x14ac:dyDescent="0.3">
      <c r="B6" s="2" t="s">
        <v>123</v>
      </c>
      <c r="C6" s="82">
        <f>C4+C5</f>
        <v>2616.0245730000006</v>
      </c>
      <c r="D6" s="82">
        <f t="shared" ref="D6:M6" si="0">D4+D5</f>
        <v>3847.0380279999954</v>
      </c>
      <c r="E6" s="82">
        <f t="shared" si="0"/>
        <v>3796.5772500000021</v>
      </c>
      <c r="F6" s="82">
        <f t="shared" si="0"/>
        <v>3645.7629719999941</v>
      </c>
      <c r="G6" s="82">
        <f t="shared" si="0"/>
        <v>4017.088618000003</v>
      </c>
      <c r="H6" s="82">
        <f t="shared" si="0"/>
        <v>4792.1093749999882</v>
      </c>
      <c r="I6" s="82">
        <f t="shared" si="0"/>
        <v>5493.1183999999903</v>
      </c>
      <c r="J6" s="82">
        <f t="shared" si="0"/>
        <v>6152.2926079999888</v>
      </c>
      <c r="K6" s="82">
        <f t="shared" si="0"/>
        <v>6890.5677209599889</v>
      </c>
      <c r="L6" s="82">
        <f t="shared" si="0"/>
        <v>7717.4358474752162</v>
      </c>
      <c r="M6" s="82">
        <f t="shared" si="0"/>
        <v>8643.5281491722217</v>
      </c>
    </row>
    <row r="7" spans="2:14" x14ac:dyDescent="0.3">
      <c r="B7" s="2" t="s">
        <v>56</v>
      </c>
      <c r="C7" s="82"/>
      <c r="D7" s="82">
        <f>-'Balancesheet Output'!D6</f>
        <v>-2203.46</v>
      </c>
      <c r="E7" s="82">
        <f>-'Balancesheet Output'!E6</f>
        <v>-1032.2900000000002</v>
      </c>
      <c r="F7" s="82">
        <f>-'Balancesheet Output'!F6</f>
        <v>-1343.2099999999998</v>
      </c>
      <c r="G7" s="82">
        <f>-'Balancesheet Output'!G6</f>
        <v>-1660.88</v>
      </c>
      <c r="H7" s="82">
        <f>-'Balancesheet Output'!H6</f>
        <v>-2292.3599999999997</v>
      </c>
      <c r="I7" s="82">
        <f>-'Balancesheet Output'!I6</f>
        <v>-1821.4748000000013</v>
      </c>
      <c r="J7" s="82">
        <f>-'Balancesheet Output'!J6</f>
        <v>-2040.0517760000007</v>
      </c>
      <c r="K7" s="82">
        <f>-'Balancesheet Output'!K6</f>
        <v>-2284.8579891200015</v>
      </c>
      <c r="L7" s="82">
        <f>-'Balancesheet Output'!L6</f>
        <v>-2559.040947814402</v>
      </c>
      <c r="M7" s="82">
        <f>-'Balancesheet Output'!M6</f>
        <v>-2866.1258615521306</v>
      </c>
      <c r="N7" s="44"/>
    </row>
    <row r="8" spans="2:14" x14ac:dyDescent="0.3">
      <c r="B8" s="2" t="s">
        <v>124</v>
      </c>
      <c r="C8" s="82"/>
      <c r="D8" s="82">
        <f>-'Balancesheet Output'!D12</f>
        <v>-2428.42</v>
      </c>
      <c r="E8" s="82">
        <f>-'Balancesheet Output'!E12</f>
        <v>-527.36999999999898</v>
      </c>
      <c r="F8" s="82">
        <f>-'Balancesheet Output'!F12</f>
        <v>-1593.0099999999984</v>
      </c>
      <c r="G8" s="82">
        <f>-'Balancesheet Output'!G12</f>
        <v>-2781.66</v>
      </c>
      <c r="H8" s="82">
        <f>-'Balancesheet Output'!H12</f>
        <v>-1868.3400000000001</v>
      </c>
      <c r="I8" s="82">
        <f>-'Balancesheet Output'!I12</f>
        <v>-2290.9039454563099</v>
      </c>
      <c r="J8" s="82">
        <f>-'Balancesheet Output'!J12</f>
        <v>-2473.3804734547557</v>
      </c>
      <c r="K8" s="82">
        <f>-'Balancesheet Output'!K12</f>
        <v>-2770.1861302693324</v>
      </c>
      <c r="L8" s="82">
        <f>-'Balancesheet Output'!L12</f>
        <v>-3102.6084659016487</v>
      </c>
      <c r="M8" s="82">
        <f>-'Balancesheet Output'!M12</f>
        <v>-3474.9214818098517</v>
      </c>
    </row>
    <row r="9" spans="2:14" x14ac:dyDescent="0.3">
      <c r="B9" s="2" t="s">
        <v>125</v>
      </c>
      <c r="C9" s="82"/>
      <c r="D9" s="82">
        <f>D6+D7+D8</f>
        <v>-784.84197200000472</v>
      </c>
      <c r="E9" s="82">
        <f t="shared" ref="E9:M9" si="1">E6+E7+E8</f>
        <v>2236.9172500000032</v>
      </c>
      <c r="F9" s="82">
        <f t="shared" si="1"/>
        <v>709.54297199999564</v>
      </c>
      <c r="G9" s="82">
        <f t="shared" si="1"/>
        <v>-425.45138199999701</v>
      </c>
      <c r="H9" s="82">
        <f t="shared" si="1"/>
        <v>631.40937499998836</v>
      </c>
      <c r="I9" s="82">
        <f t="shared" si="1"/>
        <v>1380.7396545436791</v>
      </c>
      <c r="J9" s="82">
        <f t="shared" si="1"/>
        <v>1638.8603585452329</v>
      </c>
      <c r="K9" s="82">
        <f t="shared" si="1"/>
        <v>1835.523601570655</v>
      </c>
      <c r="L9" s="82">
        <f t="shared" si="1"/>
        <v>2055.7864337591654</v>
      </c>
      <c r="M9" s="82">
        <f t="shared" si="1"/>
        <v>2302.480805810239</v>
      </c>
    </row>
    <row r="14" spans="2:14" x14ac:dyDescent="0.3">
      <c r="H14" t="s">
        <v>126</v>
      </c>
    </row>
  </sheetData>
  <mergeCells count="2">
    <mergeCell ref="C2:H2"/>
    <mergeCell ref="I2:M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88F8-C5F3-4A5D-BD58-9364BC8BA4B1}">
  <dimension ref="B2:N14"/>
  <sheetViews>
    <sheetView showGridLines="0" workbookViewId="0">
      <selection activeCell="C4" sqref="C4:M14"/>
    </sheetView>
  </sheetViews>
  <sheetFormatPr defaultRowHeight="14.4" x14ac:dyDescent="0.3"/>
  <cols>
    <col min="2" max="2" width="29.109375" bestFit="1" customWidth="1"/>
    <col min="3" max="5" width="11.21875" bestFit="1" customWidth="1"/>
    <col min="6" max="6" width="11.88671875" bestFit="1" customWidth="1"/>
    <col min="7" max="13" width="12.77734375" bestFit="1" customWidth="1"/>
    <col min="15" max="16" width="14.44140625" bestFit="1" customWidth="1"/>
  </cols>
  <sheetData>
    <row r="2" spans="2:14" x14ac:dyDescent="0.3">
      <c r="B2" s="7"/>
      <c r="C2" s="108" t="s">
        <v>96</v>
      </c>
      <c r="D2" s="108"/>
      <c r="E2" s="108"/>
      <c r="F2" s="108"/>
      <c r="G2" s="108"/>
      <c r="H2" s="108"/>
      <c r="I2" s="112" t="s">
        <v>95</v>
      </c>
      <c r="J2" s="112"/>
      <c r="K2" s="112"/>
      <c r="L2" s="112"/>
      <c r="M2" s="112"/>
    </row>
    <row r="3" spans="2:14" x14ac:dyDescent="0.3">
      <c r="B3" s="7" t="s">
        <v>2</v>
      </c>
      <c r="C3" s="32" t="s">
        <v>76</v>
      </c>
      <c r="D3" s="32" t="s">
        <v>77</v>
      </c>
      <c r="E3" s="32" t="s">
        <v>78</v>
      </c>
      <c r="F3" s="32" t="s">
        <v>79</v>
      </c>
      <c r="G3" s="32" t="s">
        <v>80</v>
      </c>
      <c r="H3" s="32" t="s">
        <v>81</v>
      </c>
      <c r="I3" s="31" t="s">
        <v>90</v>
      </c>
      <c r="J3" s="31" t="s">
        <v>91</v>
      </c>
      <c r="K3" s="31" t="s">
        <v>92</v>
      </c>
      <c r="L3" s="31" t="s">
        <v>93</v>
      </c>
      <c r="M3" s="31" t="s">
        <v>94</v>
      </c>
      <c r="N3" s="22"/>
    </row>
    <row r="4" spans="2:14" x14ac:dyDescent="0.3">
      <c r="B4" s="7" t="s">
        <v>108</v>
      </c>
      <c r="C4" s="84">
        <f>'P&amp;L Assumptions'!C7</f>
        <v>70932.73</v>
      </c>
      <c r="D4" s="84">
        <f>'P&amp;L Assumptions'!D7</f>
        <v>84851.66</v>
      </c>
      <c r="E4" s="84">
        <f>'P&amp;L Assumptions'!E7</f>
        <v>91273.04</v>
      </c>
      <c r="F4" s="84">
        <f>'P&amp;L Assumptions'!F7</f>
        <v>100590.76</v>
      </c>
      <c r="G4" s="84">
        <f>'P&amp;L Assumptions'!G7</f>
        <v>113457.8</v>
      </c>
      <c r="H4" s="84">
        <f>'P&amp;L Assumptions'!H7</f>
        <v>122614.25</v>
      </c>
      <c r="I4" s="89">
        <f>'P&amp;L Assumptions'!I7</f>
        <v>137327.96000000002</v>
      </c>
      <c r="J4" s="89">
        <f>'P&amp;L Assumptions'!J7</f>
        <v>153807.31520000004</v>
      </c>
      <c r="K4" s="89">
        <f>'P&amp;L Assumptions'!K7</f>
        <v>172264.19302400007</v>
      </c>
      <c r="L4" s="89">
        <f>'P&amp;L Assumptions'!L7</f>
        <v>192935.8961868801</v>
      </c>
      <c r="M4" s="89">
        <f>'P&amp;L Assumptions'!M7</f>
        <v>216088.20372930574</v>
      </c>
    </row>
    <row r="5" spans="2:14" x14ac:dyDescent="0.3">
      <c r="B5" s="7" t="s">
        <v>109</v>
      </c>
      <c r="C5" s="84">
        <f>'P&amp;L Assumptions'!C13</f>
        <v>-626.45000000000005</v>
      </c>
      <c r="D5" s="84">
        <f>'P&amp;L Assumptions'!D13</f>
        <v>-832.32</v>
      </c>
      <c r="E5" s="84">
        <f>'P&amp;L Assumptions'!E13</f>
        <v>-800.54</v>
      </c>
      <c r="F5" s="84">
        <f>'P&amp;L Assumptions'!F13</f>
        <v>-796.20999999999992</v>
      </c>
      <c r="G5" s="84">
        <f>'P&amp;L Assumptions'!G13</f>
        <v>-1068.6600000000001</v>
      </c>
      <c r="H5" s="84">
        <f>'P&amp;L Assumptions'!H13</f>
        <v>-1448.38</v>
      </c>
      <c r="I5" s="89">
        <f>'P&amp;L Assumptions'!I13</f>
        <v>-1373.2796000000003</v>
      </c>
      <c r="J5" s="89">
        <f>'P&amp;L Assumptions'!J13</f>
        <v>-1538.0731520000004</v>
      </c>
      <c r="K5" s="89">
        <f>'P&amp;L Assumptions'!K13</f>
        <v>-1722.6419302400006</v>
      </c>
      <c r="L5" s="89">
        <f>'P&amp;L Assumptions'!L13</f>
        <v>-1929.3589618688011</v>
      </c>
      <c r="M5" s="89">
        <f>'P&amp;L Assumptions'!M13</f>
        <v>-2160.8820372930572</v>
      </c>
    </row>
    <row r="6" spans="2:14" x14ac:dyDescent="0.3">
      <c r="B6" s="30" t="s">
        <v>110</v>
      </c>
      <c r="C6" s="90">
        <f>C4+C5</f>
        <v>70306.28</v>
      </c>
      <c r="D6" s="90">
        <f t="shared" ref="D6:H6" si="0">D4+D5</f>
        <v>84019.34</v>
      </c>
      <c r="E6" s="90">
        <f t="shared" si="0"/>
        <v>90472.5</v>
      </c>
      <c r="F6" s="90">
        <f t="shared" si="0"/>
        <v>99794.549999999988</v>
      </c>
      <c r="G6" s="90">
        <f t="shared" si="0"/>
        <v>112389.14</v>
      </c>
      <c r="H6" s="90">
        <f t="shared" si="0"/>
        <v>121165.87</v>
      </c>
      <c r="I6" s="91">
        <f>I4+I5</f>
        <v>135954.68040000001</v>
      </c>
      <c r="J6" s="91">
        <f t="shared" ref="J6:M6" si="1">J4+J5</f>
        <v>152269.24204800004</v>
      </c>
      <c r="K6" s="91">
        <f t="shared" si="1"/>
        <v>170541.55109376006</v>
      </c>
      <c r="L6" s="91">
        <f t="shared" si="1"/>
        <v>191006.5372250113</v>
      </c>
      <c r="M6" s="91">
        <f t="shared" si="1"/>
        <v>213927.32169201269</v>
      </c>
    </row>
    <row r="7" spans="2:14" x14ac:dyDescent="0.3">
      <c r="B7" s="7" t="str">
        <f>'P&amp;L'!C5</f>
        <v>Employee benefit expenes</v>
      </c>
      <c r="C7" s="84">
        <f>'P&amp;L'!D5</f>
        <v>-57570.720000000001</v>
      </c>
      <c r="D7" s="84">
        <f>'P&amp;L'!E5</f>
        <v>-68963.02</v>
      </c>
      <c r="E7" s="84">
        <f>'P&amp;L'!F5</f>
        <v>-70564.789999999994</v>
      </c>
      <c r="F7" s="84">
        <f>'P&amp;L'!G5</f>
        <v>-78112.45</v>
      </c>
      <c r="G7" s="84">
        <f>'P&amp;L'!H5</f>
        <v>-92012.39</v>
      </c>
      <c r="H7" s="84">
        <f>'P&amp;L'!I5</f>
        <v>-100495.49</v>
      </c>
      <c r="I7" s="89">
        <f>'P&amp;L Assumptions'!I19</f>
        <v>-109862.36800000002</v>
      </c>
      <c r="J7" s="89">
        <f>'P&amp;L Assumptions'!J19</f>
        <v>-123045.85216000004</v>
      </c>
      <c r="K7" s="89">
        <f>'P&amp;L Assumptions'!K19</f>
        <v>-137811.35441920007</v>
      </c>
      <c r="L7" s="89">
        <f>'P&amp;L Assumptions'!L19</f>
        <v>-154348.71694950407</v>
      </c>
      <c r="M7" s="89">
        <f>'P&amp;L Assumptions'!M19</f>
        <v>-172870.5629834446</v>
      </c>
    </row>
    <row r="8" spans="2:14" x14ac:dyDescent="0.3">
      <c r="B8" s="7" t="str">
        <f>'P&amp;L'!C6</f>
        <v>Other Expenses</v>
      </c>
      <c r="C8" s="84">
        <f>'P&amp;L'!D6</f>
        <v>-9083.98</v>
      </c>
      <c r="D8" s="84">
        <f>'P&amp;L'!E6</f>
        <v>-9852.39</v>
      </c>
      <c r="E8" s="84">
        <f>'P&amp;L'!F6</f>
        <v>-14699.91</v>
      </c>
      <c r="F8" s="84">
        <f>'P&amp;L'!G6</f>
        <v>-16697.11</v>
      </c>
      <c r="G8" s="84">
        <f>'P&amp;L'!H6</f>
        <v>-15461.48</v>
      </c>
      <c r="H8" s="84">
        <f>'P&amp;L'!I6</f>
        <v>-14825.85</v>
      </c>
      <c r="I8" s="89">
        <f>'P&amp;L Assumptions'!I25</f>
        <v>-19225.914400000005</v>
      </c>
      <c r="J8" s="89">
        <f>'P&amp;L Assumptions'!J25</f>
        <v>-21533.024128000008</v>
      </c>
      <c r="K8" s="89">
        <f>'P&amp;L Assumptions'!K25</f>
        <v>-24116.987023360012</v>
      </c>
      <c r="L8" s="89">
        <f>'P&amp;L Assumptions'!L25</f>
        <v>-27011.025466163217</v>
      </c>
      <c r="M8" s="89">
        <f>'P&amp;L Assumptions'!M25</f>
        <v>-30252.348522102806</v>
      </c>
    </row>
    <row r="9" spans="2:14" x14ac:dyDescent="0.3">
      <c r="B9" s="30" t="s">
        <v>51</v>
      </c>
      <c r="C9" s="90">
        <f t="shared" ref="C9:M9" si="2">C6+SUM(C7:C8)</f>
        <v>3651.5800000000017</v>
      </c>
      <c r="D9" s="90">
        <f t="shared" si="2"/>
        <v>5203.929999999993</v>
      </c>
      <c r="E9" s="90">
        <f t="shared" si="2"/>
        <v>5207.8000000000029</v>
      </c>
      <c r="F9" s="90">
        <f t="shared" si="2"/>
        <v>4984.9899999999907</v>
      </c>
      <c r="G9" s="90">
        <f t="shared" si="2"/>
        <v>4915.2700000000041</v>
      </c>
      <c r="H9" s="90">
        <f t="shared" si="2"/>
        <v>5844.5299999999843</v>
      </c>
      <c r="I9" s="91">
        <f t="shared" si="2"/>
        <v>6866.3979999999865</v>
      </c>
      <c r="J9" s="91">
        <f t="shared" si="2"/>
        <v>7690.365759999986</v>
      </c>
      <c r="K9" s="91">
        <f t="shared" si="2"/>
        <v>8613.2096511999844</v>
      </c>
      <c r="L9" s="91">
        <f t="shared" si="2"/>
        <v>9646.7948093440209</v>
      </c>
      <c r="M9" s="91">
        <f t="shared" si="2"/>
        <v>10804.410186465277</v>
      </c>
    </row>
    <row r="10" spans="2:14" x14ac:dyDescent="0.3">
      <c r="B10" s="7" t="s">
        <v>111</v>
      </c>
      <c r="C10" s="84">
        <f>'P&amp;L'!D9</f>
        <v>-659.51</v>
      </c>
      <c r="D10" s="84">
        <f>'P&amp;L'!E9</f>
        <v>-1283.4100000000001</v>
      </c>
      <c r="E10" s="84">
        <f>'P&amp;L'!F9</f>
        <v>-1130.3</v>
      </c>
      <c r="F10" s="84">
        <f>'P&amp;L'!G9</f>
        <v>-1115.51</v>
      </c>
      <c r="G10" s="84">
        <f>'P&amp;L'!H9</f>
        <v>-1346.81</v>
      </c>
      <c r="H10" s="84">
        <f>'P&amp;L'!I9</f>
        <v>-1663.28</v>
      </c>
      <c r="I10" s="89">
        <f>'P&amp;L Assumptions'!I31</f>
        <v>-1373.2796000000003</v>
      </c>
      <c r="J10" s="89">
        <f>'P&amp;L Assumptions'!J31</f>
        <v>-1538.0731520000004</v>
      </c>
      <c r="K10" s="89">
        <f>'P&amp;L Assumptions'!K31</f>
        <v>-1722.6419302400006</v>
      </c>
      <c r="L10" s="89">
        <f>'P&amp;L Assumptions'!L31</f>
        <v>-1929.3589618688011</v>
      </c>
      <c r="M10" s="89">
        <f>'P&amp;L Assumptions'!M31</f>
        <v>-2160.8820372930572</v>
      </c>
    </row>
    <row r="11" spans="2:14" x14ac:dyDescent="0.3">
      <c r="B11" s="30" t="s">
        <v>53</v>
      </c>
      <c r="C11" s="90">
        <f>C9+C10</f>
        <v>2992.0700000000015</v>
      </c>
      <c r="D11" s="90">
        <f t="shared" ref="D11:H11" si="3">D9+D10</f>
        <v>3920.5199999999932</v>
      </c>
      <c r="E11" s="90">
        <f t="shared" si="3"/>
        <v>4077.5000000000027</v>
      </c>
      <c r="F11" s="90">
        <f t="shared" si="3"/>
        <v>3869.4799999999905</v>
      </c>
      <c r="G11" s="90">
        <f t="shared" si="3"/>
        <v>3568.4600000000041</v>
      </c>
      <c r="H11" s="90">
        <f t="shared" si="3"/>
        <v>4181.2499999999845</v>
      </c>
      <c r="I11" s="91">
        <f>I9+I10</f>
        <v>5493.1183999999867</v>
      </c>
      <c r="J11" s="91">
        <f t="shared" ref="J11:M11" si="4">J9+J10</f>
        <v>6152.2926079999852</v>
      </c>
      <c r="K11" s="91">
        <f t="shared" si="4"/>
        <v>6890.5677209599835</v>
      </c>
      <c r="L11" s="91">
        <f t="shared" si="4"/>
        <v>7717.4358474752198</v>
      </c>
      <c r="M11" s="91">
        <f t="shared" si="4"/>
        <v>8643.5281491722199</v>
      </c>
    </row>
    <row r="12" spans="2:14" x14ac:dyDescent="0.3">
      <c r="B12" s="7" t="s">
        <v>113</v>
      </c>
      <c r="C12" s="84">
        <f>-C11*C13</f>
        <v>-1035.5554270000007</v>
      </c>
      <c r="D12" s="84">
        <f t="shared" ref="D12:H12" si="5">-D11*D13</f>
        <v>-1356.8919719999976</v>
      </c>
      <c r="E12" s="84">
        <f t="shared" si="5"/>
        <v>-1411.222750000001</v>
      </c>
      <c r="F12" s="84">
        <f t="shared" si="5"/>
        <v>-1339.2270279999968</v>
      </c>
      <c r="G12" s="84">
        <f t="shared" si="5"/>
        <v>-898.18138200000101</v>
      </c>
      <c r="H12" s="84">
        <f t="shared" si="5"/>
        <v>-1052.4206249999961</v>
      </c>
      <c r="I12" s="89">
        <f>-I11*I13</f>
        <v>-1373.2795999999967</v>
      </c>
      <c r="J12" s="89">
        <f t="shared" ref="J12:M12" si="6">-J11*J13</f>
        <v>-1538.0731519999963</v>
      </c>
      <c r="K12" s="89">
        <f t="shared" si="6"/>
        <v>-1722.6419302399959</v>
      </c>
      <c r="L12" s="89">
        <f t="shared" si="6"/>
        <v>-1929.358961868805</v>
      </c>
      <c r="M12" s="89">
        <f t="shared" si="6"/>
        <v>-2160.882037293055</v>
      </c>
    </row>
    <row r="13" spans="2:14" x14ac:dyDescent="0.3">
      <c r="B13" s="7" t="s">
        <v>114</v>
      </c>
      <c r="C13" s="84">
        <f>'P&amp;L Assumptions'!C37</f>
        <v>0.34610000000000002</v>
      </c>
      <c r="D13" s="84">
        <f>'P&amp;L Assumptions'!D37</f>
        <v>0.34610000000000002</v>
      </c>
      <c r="E13" s="84">
        <f>'P&amp;L Assumptions'!E37</f>
        <v>0.34610000000000002</v>
      </c>
      <c r="F13" s="84">
        <f>'P&amp;L Assumptions'!F37</f>
        <v>0.34610000000000002</v>
      </c>
      <c r="G13" s="84">
        <f>'P&amp;L Assumptions'!G37</f>
        <v>0.25169999999999998</v>
      </c>
      <c r="H13" s="84">
        <f>'P&amp;L Assumptions'!H37</f>
        <v>0.25169999999999998</v>
      </c>
      <c r="I13" s="89">
        <f>'P&amp;L Assumptions'!I37</f>
        <v>0.25</v>
      </c>
      <c r="J13" s="89">
        <f>'P&amp;L Assumptions'!J37</f>
        <v>0.25</v>
      </c>
      <c r="K13" s="89">
        <f>'P&amp;L Assumptions'!K37</f>
        <v>0.25</v>
      </c>
      <c r="L13" s="89">
        <f>'P&amp;L Assumptions'!L37</f>
        <v>0.25</v>
      </c>
      <c r="M13" s="89">
        <f>'P&amp;L Assumptions'!M37</f>
        <v>0.25</v>
      </c>
    </row>
    <row r="14" spans="2:14" x14ac:dyDescent="0.3">
      <c r="B14" s="30" t="s">
        <v>115</v>
      </c>
      <c r="C14" s="90">
        <f>C11+C12</f>
        <v>1956.5145730000008</v>
      </c>
      <c r="D14" s="90">
        <f t="shared" ref="D14:H14" si="7">D11+D12</f>
        <v>2563.6280279999955</v>
      </c>
      <c r="E14" s="90">
        <f t="shared" si="7"/>
        <v>2666.2772500000019</v>
      </c>
      <c r="F14" s="90">
        <f t="shared" si="7"/>
        <v>2530.2529719999939</v>
      </c>
      <c r="G14" s="90">
        <f t="shared" si="7"/>
        <v>2670.278618000003</v>
      </c>
      <c r="H14" s="90">
        <f t="shared" si="7"/>
        <v>3128.8293749999884</v>
      </c>
      <c r="I14" s="91">
        <f>I11+I12</f>
        <v>4119.8387999999904</v>
      </c>
      <c r="J14" s="91">
        <f t="shared" ref="J14:M14" si="8">J11+J12</f>
        <v>4614.2194559999889</v>
      </c>
      <c r="K14" s="91">
        <f t="shared" si="8"/>
        <v>5167.9257907199881</v>
      </c>
      <c r="L14" s="91">
        <f t="shared" si="8"/>
        <v>5788.0768856064151</v>
      </c>
      <c r="M14" s="91">
        <f t="shared" si="8"/>
        <v>6482.6461118791649</v>
      </c>
    </row>
  </sheetData>
  <mergeCells count="2">
    <mergeCell ref="C2:H2"/>
    <mergeCell ref="I2:M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0071-7DB7-4DE1-A3A2-7342EFF8378A}">
  <dimension ref="A1"/>
  <sheetViews>
    <sheetView workbookViewId="0">
      <selection activeCell="Q22" sqref="Q22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37C3-B838-4CAD-8E95-EA534AD971A9}">
  <dimension ref="B2:K40"/>
  <sheetViews>
    <sheetView showGridLines="0" zoomScale="90" zoomScaleNormal="90" workbookViewId="0">
      <pane xSplit="4" ySplit="2" topLeftCell="E13" activePane="bottomRight" state="frozen"/>
      <selection pane="topRight" activeCell="E1" sqref="E1"/>
      <selection pane="bottomLeft" activeCell="A4" sqref="A4"/>
      <selection pane="bottomRight" activeCell="E3" sqref="E3:J3"/>
    </sheetView>
  </sheetViews>
  <sheetFormatPr defaultColWidth="9.21875" defaultRowHeight="14.4" x14ac:dyDescent="0.3"/>
  <cols>
    <col min="1" max="1" width="9.21875" style="1"/>
    <col min="2" max="2" width="11.21875" style="1" bestFit="1" customWidth="1"/>
    <col min="3" max="3" width="23.77734375" style="1" bestFit="1" customWidth="1"/>
    <col min="4" max="4" width="45" style="1" bestFit="1" customWidth="1"/>
    <col min="5" max="10" width="9.77734375" style="1" bestFit="1" customWidth="1"/>
    <col min="11" max="11" width="20.77734375" style="6" bestFit="1" customWidth="1"/>
    <col min="12" max="16384" width="9.21875" style="1"/>
  </cols>
  <sheetData>
    <row r="2" spans="2:11" x14ac:dyDescent="0.3">
      <c r="D2" s="14" t="s">
        <v>2</v>
      </c>
      <c r="E2" s="14">
        <v>2015</v>
      </c>
      <c r="F2" s="14">
        <v>2016</v>
      </c>
      <c r="G2" s="14">
        <v>2017</v>
      </c>
      <c r="H2" s="14">
        <v>2018</v>
      </c>
      <c r="I2" s="14">
        <v>2019</v>
      </c>
      <c r="J2" s="14">
        <v>2020</v>
      </c>
      <c r="K2" s="8" t="s">
        <v>4</v>
      </c>
    </row>
    <row r="3" spans="2:11" x14ac:dyDescent="0.3">
      <c r="B3" s="107" t="s">
        <v>0</v>
      </c>
      <c r="C3" s="106" t="s">
        <v>1</v>
      </c>
      <c r="D3" s="7" t="s">
        <v>3</v>
      </c>
      <c r="E3" s="69">
        <f>Balancesheet!E3/Balancesheet!E$24</f>
        <v>4.123911214007478E-2</v>
      </c>
      <c r="F3" s="69">
        <f>Balancesheet!F3/Balancesheet!F$24</f>
        <v>5.7223766439537381E-2</v>
      </c>
      <c r="G3" s="69">
        <f>Balancesheet!G3/Balancesheet!G$24</f>
        <v>5.0876985163963107E-2</v>
      </c>
      <c r="H3" s="69">
        <f>Balancesheet!H3/Balancesheet!H$24</f>
        <v>5.4781491935760804E-2</v>
      </c>
      <c r="I3" s="69">
        <f>Balancesheet!I3/Balancesheet!I$24</f>
        <v>5.436794904829656E-2</v>
      </c>
      <c r="J3" s="69">
        <f>Balancesheet!J3/Balancesheet!J$24</f>
        <v>6.2529611897059939E-2</v>
      </c>
      <c r="K3" s="8" t="s">
        <v>5</v>
      </c>
    </row>
    <row r="4" spans="2:11" x14ac:dyDescent="0.3">
      <c r="B4" s="107"/>
      <c r="C4" s="106"/>
      <c r="D4" s="7" t="s">
        <v>6</v>
      </c>
      <c r="E4" s="69">
        <f>Balancesheet!E4/Balancesheet!E$24</f>
        <v>2.3222700011717875E-4</v>
      </c>
      <c r="F4" s="69">
        <f>Balancesheet!F4/Balancesheet!F$24</f>
        <v>3.5661137936378724E-4</v>
      </c>
      <c r="G4" s="69">
        <f>Balancesheet!G4/Balancesheet!G$24</f>
        <v>9.9943986128084262E-4</v>
      </c>
      <c r="H4" s="69">
        <f>Balancesheet!H4/Balancesheet!H$24</f>
        <v>4.5562779800500957E-4</v>
      </c>
      <c r="I4" s="69">
        <f>Balancesheet!I4/Balancesheet!I$24</f>
        <v>3.4122195023582524E-3</v>
      </c>
      <c r="J4" s="69">
        <f>Balancesheet!J4/Balancesheet!J$24</f>
        <v>3.711636793319925E-4</v>
      </c>
      <c r="K4" s="8" t="s">
        <v>5</v>
      </c>
    </row>
    <row r="5" spans="2:11" x14ac:dyDescent="0.3">
      <c r="B5" s="107"/>
      <c r="C5" s="106"/>
      <c r="D5" s="7" t="s">
        <v>7</v>
      </c>
      <c r="E5" s="69">
        <f>Balancesheet!E5/Balancesheet!E$24</f>
        <v>1.7825375238352253E-3</v>
      </c>
      <c r="F5" s="69">
        <f>Balancesheet!F5/Balancesheet!F$24</f>
        <v>2.4036337818239112E-3</v>
      </c>
      <c r="G5" s="69">
        <f>Balancesheet!G5/Balancesheet!G$24</f>
        <v>2.3423441656581986E-3</v>
      </c>
      <c r="H5" s="69">
        <f>Balancesheet!H5/Balancesheet!H$24</f>
        <v>4.1479397166356144E-3</v>
      </c>
      <c r="I5" s="69">
        <f>Balancesheet!I5/Balancesheet!I$24</f>
        <v>3.8066036678952729E-3</v>
      </c>
      <c r="J5" s="69">
        <f>Balancesheet!J5/Balancesheet!J$24</f>
        <v>5.5013254410686847E-3</v>
      </c>
      <c r="K5" s="8" t="s">
        <v>5</v>
      </c>
    </row>
    <row r="6" spans="2:11" x14ac:dyDescent="0.3">
      <c r="B6" s="107"/>
      <c r="C6" s="106"/>
      <c r="D6" s="7" t="s">
        <v>8</v>
      </c>
      <c r="E6" s="69">
        <f>Balancesheet!E6/Balancesheet!E$24</f>
        <v>4.0689910671907747E-2</v>
      </c>
      <c r="F6" s="69">
        <f>Balancesheet!F6/Balancesheet!F$24</f>
        <v>3.4610434848777641E-2</v>
      </c>
      <c r="G6" s="69">
        <f>Balancesheet!G6/Balancesheet!G$24</f>
        <v>3.2178312611375444E-2</v>
      </c>
      <c r="H6" s="69">
        <f>Balancesheet!H6/Balancesheet!H$24</f>
        <v>3.0942660948753652E-2</v>
      </c>
      <c r="I6" s="69">
        <f>Balancesheet!I6/Balancesheet!I$24</f>
        <v>3.0970447619901184E-2</v>
      </c>
      <c r="J6" s="69">
        <f>Balancesheet!J6/Balancesheet!J$24</f>
        <v>2.7398978019141134E-2</v>
      </c>
      <c r="K6" s="8" t="s">
        <v>5</v>
      </c>
    </row>
    <row r="7" spans="2:11" x14ac:dyDescent="0.3">
      <c r="B7" s="107"/>
      <c r="C7" s="106"/>
      <c r="D7" s="7" t="s">
        <v>152</v>
      </c>
      <c r="E7" s="69">
        <f>Balancesheet!E7/Balancesheet!E$24</f>
        <v>0.29080099377058766</v>
      </c>
      <c r="F7" s="69">
        <f>Balancesheet!F7/Balancesheet!F$24</f>
        <v>0.26488250633098048</v>
      </c>
      <c r="G7" s="69">
        <f>Balancesheet!G7/Balancesheet!G$24</f>
        <v>0.22646053244330208</v>
      </c>
      <c r="H7" s="69">
        <f>Balancesheet!H7/Balancesheet!H$24</f>
        <v>0.22853266068385378</v>
      </c>
      <c r="I7" s="69">
        <f>Balancesheet!I7/Balancesheet!I$24</f>
        <v>0.19946963819585259</v>
      </c>
      <c r="J7" s="69">
        <f>Balancesheet!J7/Balancesheet!J$24</f>
        <v>0.17878152505580849</v>
      </c>
      <c r="K7" s="8" t="s">
        <v>10</v>
      </c>
    </row>
    <row r="8" spans="2:11" x14ac:dyDescent="0.3">
      <c r="B8" s="107"/>
      <c r="C8" s="106"/>
      <c r="D8" s="7" t="s">
        <v>9</v>
      </c>
      <c r="E8" s="69">
        <f>Balancesheet!E8/Balancesheet!E$24</f>
        <v>1.2745498382578003E-2</v>
      </c>
      <c r="F8" s="69">
        <f>Balancesheet!F8/Balancesheet!F$24</f>
        <v>8.1689585593502142E-3</v>
      </c>
      <c r="G8" s="69">
        <f>Balancesheet!G8/Balancesheet!G$24</f>
        <v>7.6040368878034018E-3</v>
      </c>
      <c r="H8" s="69">
        <f>Balancesheet!H8/Balancesheet!H$24</f>
        <v>8.0498168756922978E-3</v>
      </c>
      <c r="I8" s="69">
        <f>Balancesheet!I8/Balancesheet!I$24</f>
        <v>8.9885630342478786E-3</v>
      </c>
      <c r="J8" s="69">
        <f>Balancesheet!J8/Balancesheet!J$24</f>
        <v>1.2673640816017665E-2</v>
      </c>
      <c r="K8" s="8" t="s">
        <v>10</v>
      </c>
    </row>
    <row r="9" spans="2:11" x14ac:dyDescent="0.3">
      <c r="B9" s="107"/>
      <c r="C9" s="106"/>
      <c r="D9" s="7" t="s">
        <v>21</v>
      </c>
      <c r="E9" s="69">
        <f>Balancesheet!E10/Balancesheet!E$24</f>
        <v>9.9417301976770199E-3</v>
      </c>
      <c r="F9" s="69">
        <f>Balancesheet!F10/Balancesheet!F$24</f>
        <v>9.596693810546281E-3</v>
      </c>
      <c r="G9" s="69">
        <f>Balancesheet!G10/Balancesheet!G$24</f>
        <v>8.740187899455994E-3</v>
      </c>
      <c r="H9" s="69">
        <f>Balancesheet!H10/Balancesheet!H$24</f>
        <v>8.0496206535570665E-3</v>
      </c>
      <c r="I9" s="69">
        <f>Balancesheet!I10/Balancesheet!I$24</f>
        <v>5.4951210495065026E-3</v>
      </c>
      <c r="J9" s="69">
        <f>Balancesheet!J10/Balancesheet!J$24</f>
        <v>4.9545412386788387E-3</v>
      </c>
      <c r="K9" s="8" t="s">
        <v>10</v>
      </c>
    </row>
    <row r="10" spans="2:11" x14ac:dyDescent="0.3">
      <c r="B10" s="107"/>
      <c r="C10" s="106"/>
      <c r="D10" s="7" t="s">
        <v>19</v>
      </c>
      <c r="E10" s="69">
        <f>Balancesheet!E11/Balancesheet!E$24</f>
        <v>5.1300625071757193E-3</v>
      </c>
      <c r="F10" s="69">
        <f>Balancesheet!F11/Balancesheet!F$24</f>
        <v>2.4483445515090635E-3</v>
      </c>
      <c r="G10" s="69">
        <f>Balancesheet!G11/Balancesheet!G$24</f>
        <v>2.3905601446717476E-3</v>
      </c>
      <c r="H10" s="69">
        <f>Balancesheet!H11/Balancesheet!H$24</f>
        <v>5.9372893678017137E-3</v>
      </c>
      <c r="I10" s="69">
        <f>Balancesheet!I11/Balancesheet!I$24</f>
        <v>6.7495182666562096E-3</v>
      </c>
      <c r="J10" s="69">
        <f>Balancesheet!J11/Balancesheet!J$24</f>
        <v>5.2882034907801743E-3</v>
      </c>
      <c r="K10" s="8" t="s">
        <v>10</v>
      </c>
    </row>
    <row r="11" spans="2:11" x14ac:dyDescent="0.3">
      <c r="B11" s="107"/>
      <c r="C11" s="106"/>
      <c r="D11" s="7" t="s">
        <v>22</v>
      </c>
      <c r="E11" s="69">
        <f>Balancesheet!E12/Balancesheet!E$24</f>
        <v>4.8517925391454005E-2</v>
      </c>
      <c r="F11" s="69">
        <f>Balancesheet!F12/Balancesheet!F$24</f>
        <v>5.2669931555979925E-2</v>
      </c>
      <c r="G11" s="69">
        <f>Balancesheet!G12/Balancesheet!G$24</f>
        <v>4.7754454868752336E-2</v>
      </c>
      <c r="H11" s="69">
        <f>Balancesheet!H12/Balancesheet!H$24</f>
        <v>5.7120852231977742E-2</v>
      </c>
      <c r="I11" s="69">
        <f>Balancesheet!I12/Balancesheet!I$24</f>
        <v>6.8386529391335507E-2</v>
      </c>
      <c r="J11" s="69">
        <f>Balancesheet!J12/Balancesheet!J$24</f>
        <v>5.4736346550689048E-2</v>
      </c>
      <c r="K11" s="8" t="s">
        <v>5</v>
      </c>
    </row>
    <row r="12" spans="2:11" x14ac:dyDescent="0.3">
      <c r="B12" s="107"/>
      <c r="C12" s="106"/>
      <c r="D12" s="7" t="s">
        <v>11</v>
      </c>
      <c r="E12" s="69">
        <f>Balancesheet!E13/Balancesheet!E$24</f>
        <v>3.1897005786737022E-2</v>
      </c>
      <c r="F12" s="69">
        <f>Balancesheet!F13/Balancesheet!F$24</f>
        <v>4.1357032047518949E-2</v>
      </c>
      <c r="G12" s="69">
        <f>Balancesheet!G13/Balancesheet!G$24</f>
        <v>3.1482851679513355E-2</v>
      </c>
      <c r="H12" s="69">
        <f>Balancesheet!H13/Balancesheet!H$24</f>
        <v>4.6995790054088639E-2</v>
      </c>
      <c r="I12" s="69">
        <f>Balancesheet!I13/Balancesheet!I$24</f>
        <v>4.373603113341773E-2</v>
      </c>
      <c r="J12" s="69">
        <f>Balancesheet!J13/Balancesheet!J$24</f>
        <v>4.4397671831037329E-2</v>
      </c>
      <c r="K12" s="8" t="s">
        <v>5</v>
      </c>
    </row>
    <row r="13" spans="2:11" x14ac:dyDescent="0.3">
      <c r="B13" s="107"/>
      <c r="C13" s="106"/>
      <c r="D13" s="7" t="s">
        <v>12</v>
      </c>
      <c r="E13" s="69">
        <f>Balancesheet!E14/Balancesheet!E$24</f>
        <v>2.2841573130791618E-3</v>
      </c>
      <c r="F13" s="69">
        <f>Balancesheet!F14/Balancesheet!F$24</f>
        <v>3.1598476652487472E-4</v>
      </c>
      <c r="G13" s="69">
        <f>Balancesheet!G14/Balancesheet!G$24</f>
        <v>2.0933274839215587E-4</v>
      </c>
      <c r="H13" s="69">
        <f>Balancesheet!H14/Balancesheet!H$24</f>
        <v>6.2457505643839166E-4</v>
      </c>
      <c r="I13" s="69">
        <f>Balancesheet!I14/Balancesheet!I$24</f>
        <v>2.9635703162635412E-4</v>
      </c>
      <c r="J13" s="69">
        <f>Balancesheet!J14/Balancesheet!J$24</f>
        <v>7.224047254476985E-4</v>
      </c>
      <c r="K13" s="8" t="s">
        <v>5</v>
      </c>
    </row>
    <row r="14" spans="2:11" x14ac:dyDescent="0.3">
      <c r="B14" s="107"/>
      <c r="D14" s="59" t="s">
        <v>13</v>
      </c>
      <c r="E14" s="60">
        <f>Balancesheet!E15/Balancesheet!E$24</f>
        <v>0.49964029671082766</v>
      </c>
      <c r="F14" s="60">
        <f>Balancesheet!F15/Balancesheet!F$24</f>
        <v>0.48585258816243676</v>
      </c>
      <c r="G14" s="60">
        <f>Balancesheet!G15/Balancesheet!G$24</f>
        <v>0.42194854858990094</v>
      </c>
      <c r="H14" s="60">
        <f>Balancesheet!H15/Balancesheet!H$24</f>
        <v>0.45642701076180303</v>
      </c>
      <c r="I14" s="60">
        <f>Balancesheet!I15/Balancesheet!I$24</f>
        <v>0.43209047764421193</v>
      </c>
      <c r="J14" s="60">
        <f>Balancesheet!J15/Balancesheet!J$24</f>
        <v>0.40323610530266829</v>
      </c>
      <c r="K14" s="8"/>
    </row>
    <row r="15" spans="2:11" x14ac:dyDescent="0.3">
      <c r="B15" s="107"/>
      <c r="C15" s="103" t="s">
        <v>14</v>
      </c>
      <c r="D15" s="7" t="s">
        <v>15</v>
      </c>
      <c r="E15" s="69">
        <f>Balancesheet!E16/Balancesheet!E$24</f>
        <v>6.0035769112862089E-3</v>
      </c>
      <c r="F15" s="69">
        <f>Balancesheet!F16/Balancesheet!F$24</f>
        <v>7.2781824556229476E-3</v>
      </c>
      <c r="G15" s="69">
        <f>Balancesheet!G16/Balancesheet!G$24</f>
        <v>6.1297787640558019E-3</v>
      </c>
      <c r="H15" s="69">
        <f>Balancesheet!H16/Balancesheet!H$24</f>
        <v>6.6764581512146646E-3</v>
      </c>
      <c r="I15" s="69">
        <f>Balancesheet!I16/Balancesheet!I$24</f>
        <v>5.501422793829331E-3</v>
      </c>
      <c r="J15" s="69">
        <f>Balancesheet!J16/Balancesheet!J$24</f>
        <v>5.17369020405799E-3</v>
      </c>
      <c r="K15" s="8" t="s">
        <v>5</v>
      </c>
    </row>
    <row r="16" spans="2:11" x14ac:dyDescent="0.3">
      <c r="B16" s="107"/>
      <c r="C16" s="104"/>
      <c r="D16" s="7" t="s">
        <v>9</v>
      </c>
      <c r="E16" s="69">
        <f>Balancesheet!E17/Balancesheet!E$24</f>
        <v>1.6146996613652152E-3</v>
      </c>
      <c r="F16" s="69">
        <f>Balancesheet!F17/Balancesheet!F$24</f>
        <v>2.5364763571384503E-5</v>
      </c>
      <c r="G16" s="69">
        <f>Balancesheet!G17/Balancesheet!G$24</f>
        <v>4.7223880679936581E-5</v>
      </c>
      <c r="H16" s="69">
        <f>Balancesheet!H17/Balancesheet!H$24</f>
        <v>5.7493085622509828E-5</v>
      </c>
      <c r="I16" s="69">
        <f>Balancesheet!I17/Balancesheet!I$24</f>
        <v>1.8068501361176771E-3</v>
      </c>
      <c r="J16" s="69">
        <f>Balancesheet!J17/Balancesheet!J$24</f>
        <v>9.3000191190312047E-4</v>
      </c>
      <c r="K16" s="8" t="s">
        <v>10</v>
      </c>
    </row>
    <row r="17" spans="2:11" x14ac:dyDescent="0.3">
      <c r="B17" s="107"/>
      <c r="C17" s="104"/>
      <c r="D17" s="7" t="s">
        <v>16</v>
      </c>
      <c r="E17" s="69">
        <f>Balancesheet!E18/Balancesheet!E$24</f>
        <v>0.22558947426979287</v>
      </c>
      <c r="F17" s="69">
        <f>Balancesheet!F18/Balancesheet!F$24</f>
        <v>0.25256597901646194</v>
      </c>
      <c r="G17" s="69">
        <f>Balancesheet!G18/Balancesheet!G$24</f>
        <v>0.24663822519163867</v>
      </c>
      <c r="H17" s="69">
        <f>Balancesheet!H18/Balancesheet!H$24</f>
        <v>0.27300307185752704</v>
      </c>
      <c r="I17" s="69">
        <f>Balancesheet!I18/Balancesheet!I$24</f>
        <v>0.29367984057987251</v>
      </c>
      <c r="J17" s="69">
        <f>Balancesheet!J18/Balancesheet!J$24</f>
        <v>0.3157228416840418</v>
      </c>
      <c r="K17" s="8" t="s">
        <v>5</v>
      </c>
    </row>
    <row r="18" spans="2:11" x14ac:dyDescent="0.3">
      <c r="B18" s="107"/>
      <c r="C18" s="104"/>
      <c r="D18" s="7" t="s">
        <v>17</v>
      </c>
      <c r="E18" s="69">
        <f>Balancesheet!E19/Balancesheet!E$24</f>
        <v>9.9361198206099677E-2</v>
      </c>
      <c r="F18" s="69">
        <f>Balancesheet!F19/Balancesheet!F$24</f>
        <v>8.9663579402350285E-2</v>
      </c>
      <c r="G18" s="69">
        <f>Balancesheet!G19/Balancesheet!G$24</f>
        <v>0.16950515920896431</v>
      </c>
      <c r="H18" s="69">
        <f>Balancesheet!H19/Balancesheet!H$24</f>
        <v>0.13421888382962818</v>
      </c>
      <c r="I18" s="69">
        <f>Balancesheet!I19/Balancesheet!I$24</f>
        <v>0.11651540146312499</v>
      </c>
      <c r="J18" s="69">
        <f>Balancesheet!J19/Balancesheet!J$24</f>
        <v>0.10906921792447682</v>
      </c>
      <c r="K18" s="8" t="s">
        <v>5</v>
      </c>
    </row>
    <row r="19" spans="2:11" x14ac:dyDescent="0.3">
      <c r="B19" s="107"/>
      <c r="C19" s="104"/>
      <c r="D19" s="7" t="s">
        <v>18</v>
      </c>
      <c r="E19" s="69">
        <f>Balancesheet!E20/Balancesheet!E$24</f>
        <v>2.9151708620214163E-2</v>
      </c>
      <c r="F19" s="69">
        <f>Balancesheet!F20/Balancesheet!F$24</f>
        <v>4.2260060621784931E-2</v>
      </c>
      <c r="G19" s="69">
        <f>Balancesheet!G20/Balancesheet!G$24</f>
        <v>4.6382779712700231E-2</v>
      </c>
      <c r="H19" s="69">
        <f>Balancesheet!H20/Balancesheet!H$24</f>
        <v>1.0673306823722866E-2</v>
      </c>
      <c r="I19" s="69">
        <f>Balancesheet!I20/Balancesheet!I$24</f>
        <v>1.494038549870604E-2</v>
      </c>
      <c r="J19" s="69">
        <f>Balancesheet!J20/Balancesheet!J$24</f>
        <v>1.4906984741271964E-2</v>
      </c>
      <c r="K19" s="8" t="s">
        <v>5</v>
      </c>
    </row>
    <row r="20" spans="2:11" x14ac:dyDescent="0.3">
      <c r="B20" s="107"/>
      <c r="C20" s="104"/>
      <c r="D20" s="7" t="s">
        <v>19</v>
      </c>
      <c r="E20" s="69">
        <f>Balancesheet!E21/Balancesheet!E$24</f>
        <v>0.11722350250869076</v>
      </c>
      <c r="F20" s="69">
        <f>Balancesheet!F21/Balancesheet!F$24</f>
        <v>9.9607211589203465E-2</v>
      </c>
      <c r="G20" s="69">
        <f>Balancesheet!G21/Balancesheet!G$24</f>
        <v>8.592881138881267E-2</v>
      </c>
      <c r="H20" s="69">
        <f>Balancesheet!H21/Balancesheet!H$24</f>
        <v>0.10038371238544307</v>
      </c>
      <c r="I20" s="69">
        <f>Balancesheet!I21/Balancesheet!I$24</f>
        <v>0.11216894836490739</v>
      </c>
      <c r="J20" s="69">
        <f>Balancesheet!J21/Balancesheet!J$24</f>
        <v>0.12606573531425697</v>
      </c>
      <c r="K20" s="8" t="s">
        <v>5</v>
      </c>
    </row>
    <row r="21" spans="2:11" x14ac:dyDescent="0.3">
      <c r="B21" s="107"/>
      <c r="C21" s="105"/>
      <c r="D21" s="7" t="s">
        <v>20</v>
      </c>
      <c r="E21" s="69">
        <f>Balancesheet!E22/Balancesheet!E$24</f>
        <v>2.1415543111723438E-2</v>
      </c>
      <c r="F21" s="69">
        <f>Balancesheet!F22/Balancesheet!F$24</f>
        <v>2.2747033988568231E-2</v>
      </c>
      <c r="G21" s="69">
        <f>Balancesheet!G22/Balancesheet!G$24</f>
        <v>2.3419473263247538E-2</v>
      </c>
      <c r="H21" s="69">
        <f>Balancesheet!H22/Balancesheet!H$24</f>
        <v>1.8560063105038691E-2</v>
      </c>
      <c r="I21" s="69">
        <f>Balancesheet!I22/Balancesheet!I$24</f>
        <v>2.3296673519230118E-2</v>
      </c>
      <c r="J21" s="69">
        <f>Balancesheet!J22/Balancesheet!J$24</f>
        <v>2.4895422917323086E-2</v>
      </c>
      <c r="K21" s="8" t="s">
        <v>5</v>
      </c>
    </row>
    <row r="22" spans="2:11" x14ac:dyDescent="0.3">
      <c r="B22" s="107"/>
      <c r="C22" s="54"/>
      <c r="D22" s="59" t="s">
        <v>23</v>
      </c>
      <c r="E22" s="60">
        <f>Balancesheet!E23/Balancesheet!E$24</f>
        <v>0.50035970328917234</v>
      </c>
      <c r="F22" s="60">
        <f>Balancesheet!F23/Balancesheet!F$24</f>
        <v>0.5141474118375633</v>
      </c>
      <c r="G22" s="60">
        <f>Balancesheet!G23/Balancesheet!G$24</f>
        <v>0.57805145141009906</v>
      </c>
      <c r="H22" s="60">
        <f>Balancesheet!H23/Balancesheet!H$24</f>
        <v>0.54357298923819697</v>
      </c>
      <c r="I22" s="60">
        <f>Balancesheet!I23/Balancesheet!I$24</f>
        <v>0.56790952235578807</v>
      </c>
      <c r="J22" s="60">
        <f>Balancesheet!J23/Balancesheet!J$24</f>
        <v>0.59676389469733171</v>
      </c>
      <c r="K22" s="8"/>
    </row>
    <row r="23" spans="2:11" x14ac:dyDescent="0.3">
      <c r="D23" s="4" t="s">
        <v>39</v>
      </c>
      <c r="E23" s="11">
        <f t="shared" ref="E23:J23" si="0">E14+E22</f>
        <v>1</v>
      </c>
      <c r="F23" s="11">
        <f t="shared" si="0"/>
        <v>1</v>
      </c>
      <c r="G23" s="11">
        <f t="shared" si="0"/>
        <v>1</v>
      </c>
      <c r="H23" s="11">
        <f t="shared" si="0"/>
        <v>1</v>
      </c>
      <c r="I23" s="11">
        <f t="shared" si="0"/>
        <v>1</v>
      </c>
      <c r="J23" s="11">
        <f t="shared" si="0"/>
        <v>1</v>
      </c>
      <c r="K23" s="8"/>
    </row>
    <row r="24" spans="2:11" x14ac:dyDescent="0.3">
      <c r="K24" s="8"/>
    </row>
    <row r="25" spans="2:11" x14ac:dyDescent="0.3">
      <c r="B25" s="107" t="s">
        <v>32</v>
      </c>
      <c r="C25" s="103" t="s">
        <v>24</v>
      </c>
      <c r="D25" s="7" t="s">
        <v>25</v>
      </c>
      <c r="E25" s="69">
        <f>Balancesheet!E26/Balancesheet!E$41</f>
        <v>1.7355003118848855E-2</v>
      </c>
      <c r="F25" s="69">
        <f>Balancesheet!F26/Balancesheet!F$41</f>
        <v>1.5760331358392714E-2</v>
      </c>
      <c r="G25" s="69">
        <f>Balancesheet!G26/Balancesheet!G$41</f>
        <v>1.4713016707134359E-2</v>
      </c>
      <c r="H25" s="69">
        <f>Balancesheet!H26/Balancesheet!H$41</f>
        <v>1.442546649359874E-2</v>
      </c>
      <c r="I25" s="69">
        <f>Balancesheet!I26/Balancesheet!I$41</f>
        <v>1.2754905557858414E-2</v>
      </c>
      <c r="J25" s="69">
        <f>Balancesheet!J26/Balancesheet!J$41</f>
        <v>1.2062401035575127E-2</v>
      </c>
      <c r="K25" s="8" t="s">
        <v>10</v>
      </c>
    </row>
    <row r="26" spans="2:11" x14ac:dyDescent="0.3">
      <c r="B26" s="107"/>
      <c r="C26" s="104"/>
      <c r="D26" s="7" t="s">
        <v>26</v>
      </c>
      <c r="E26" s="69">
        <f>Balancesheet!E27/Balancesheet!E$41</f>
        <v>0.27852563078274228</v>
      </c>
      <c r="F26" s="69">
        <f>Balancesheet!F27/Balancesheet!F$41</f>
        <v>0.28268814044684537</v>
      </c>
      <c r="G26" s="69">
        <f>Balancesheet!G27/Balancesheet!G$41</f>
        <v>0.3485463676006082</v>
      </c>
      <c r="H26" s="69">
        <f>Balancesheet!H27/Balancesheet!H$41</f>
        <v>0.3920000235466562</v>
      </c>
      <c r="I26" s="69">
        <f>Balancesheet!I27/Balancesheet!I$41</f>
        <v>0.39568442544896426</v>
      </c>
      <c r="J26" s="69">
        <f>Balancesheet!J27/Balancesheet!J$41</f>
        <v>0.39200493009834414</v>
      </c>
      <c r="K26" s="8" t="s">
        <v>10</v>
      </c>
    </row>
    <row r="27" spans="2:11" x14ac:dyDescent="0.3">
      <c r="B27" s="107"/>
      <c r="C27" s="104"/>
      <c r="D27" s="7" t="s">
        <v>27</v>
      </c>
      <c r="E27" s="69">
        <f>Balancesheet!E28/Balancesheet!E$41</f>
        <v>8.1670045912769296E-5</v>
      </c>
      <c r="F27" s="69">
        <f>Balancesheet!F28/Balancesheet!F$41</f>
        <v>6.4916598292865418E-5</v>
      </c>
      <c r="G27" s="69">
        <f>Balancesheet!G28/Balancesheet!G$41</f>
        <v>4.1132396911558206E-4</v>
      </c>
      <c r="H27" s="69">
        <f>Balancesheet!H28/Balancesheet!H$41</f>
        <v>6.0063595594028166E-4</v>
      </c>
      <c r="I27" s="69">
        <f>Balancesheet!I28/Balancesheet!I$41</f>
        <v>0</v>
      </c>
      <c r="J27" s="69">
        <f>Balancesheet!J28/Balancesheet!J$41</f>
        <v>0</v>
      </c>
      <c r="K27" s="8" t="s">
        <v>10</v>
      </c>
    </row>
    <row r="28" spans="2:11" x14ac:dyDescent="0.3">
      <c r="B28" s="107"/>
      <c r="C28" s="104"/>
      <c r="D28" s="7" t="s">
        <v>28</v>
      </c>
      <c r="E28" s="69">
        <f>Balancesheet!E29/Balancesheet!E$41</f>
        <v>0.14538688521097504</v>
      </c>
      <c r="F28" s="69">
        <f>Balancesheet!F29/Balancesheet!F$41</f>
        <v>0.13539323874282772</v>
      </c>
      <c r="G28" s="69">
        <f>Balancesheet!G29/Balancesheet!G$41</f>
        <v>0.14724286944204193</v>
      </c>
      <c r="H28" s="69">
        <f>Balancesheet!H29/Balancesheet!H$41</f>
        <v>0.11908328942863056</v>
      </c>
      <c r="I28" s="69">
        <f>Balancesheet!I29/Balancesheet!I$41</f>
        <v>0.14059611700518704</v>
      </c>
      <c r="J28" s="69">
        <f>Balancesheet!J29/Balancesheet!J$41</f>
        <v>3.8514300600056318E-2</v>
      </c>
      <c r="K28" s="8" t="s">
        <v>5</v>
      </c>
    </row>
    <row r="29" spans="2:11" x14ac:dyDescent="0.3">
      <c r="B29" s="107"/>
      <c r="C29" s="104"/>
      <c r="D29" s="7" t="s">
        <v>36</v>
      </c>
      <c r="E29" s="69">
        <f>Balancesheet!E30/Balancesheet!E$41</f>
        <v>0.18370291988168494</v>
      </c>
      <c r="F29" s="69">
        <f>Balancesheet!F30/Balancesheet!F$41</f>
        <v>0.11828664031454024</v>
      </c>
      <c r="G29" s="69">
        <f>Balancesheet!G30/Balancesheet!G$41</f>
        <v>1.8139724351430599E-2</v>
      </c>
      <c r="H29" s="69">
        <f>Balancesheet!H30/Balancesheet!H$41</f>
        <v>1.7661561947818646E-2</v>
      </c>
      <c r="I29" s="69">
        <f>Balancesheet!I30/Balancesheet!I$41</f>
        <v>1.704884412005243E-2</v>
      </c>
      <c r="J29" s="69">
        <f>Balancesheet!J30/Balancesheet!J$41</f>
        <v>1.8509633011702789E-2</v>
      </c>
      <c r="K29" s="8" t="s">
        <v>5</v>
      </c>
    </row>
    <row r="30" spans="2:11" x14ac:dyDescent="0.3">
      <c r="B30" s="107"/>
      <c r="C30" s="104"/>
      <c r="D30" s="7" t="s">
        <v>29</v>
      </c>
      <c r="E30" s="69">
        <f>Balancesheet!E31/Balancesheet!E$41</f>
        <v>2.8262333656462645E-2</v>
      </c>
      <c r="F30" s="69">
        <f>Balancesheet!F31/Balancesheet!F$41</f>
        <v>2.5280715922601352E-2</v>
      </c>
      <c r="G30" s="69">
        <f>Balancesheet!G31/Balancesheet!G$41</f>
        <v>2.805356457954972E-2</v>
      </c>
      <c r="H30" s="69">
        <f>Balancesheet!H31/Balancesheet!H$41</f>
        <v>3.3350110325895528E-2</v>
      </c>
      <c r="I30" s="69">
        <f>Balancesheet!I31/Balancesheet!I$41</f>
        <v>3.0627177602760444E-2</v>
      </c>
      <c r="J30" s="69">
        <f>Balancesheet!J31/Balancesheet!J$41</f>
        <v>3.3003432385094122E-2</v>
      </c>
      <c r="K30" s="8" t="s">
        <v>5</v>
      </c>
    </row>
    <row r="31" spans="2:11" x14ac:dyDescent="0.3">
      <c r="B31" s="107"/>
      <c r="C31" s="104"/>
      <c r="D31" s="7" t="s">
        <v>30</v>
      </c>
      <c r="E31" s="69">
        <f>Balancesheet!E32/Balancesheet!E$41</f>
        <v>8.3045416830894482E-3</v>
      </c>
      <c r="F31" s="69">
        <f>Balancesheet!F32/Balancesheet!F$41</f>
        <v>1.1147813589623488E-2</v>
      </c>
      <c r="G31" s="69">
        <f>Balancesheet!G32/Balancesheet!G$41</f>
        <v>9.4263231069821301E-3</v>
      </c>
      <c r="H31" s="69">
        <f>Balancesheet!H32/Balancesheet!H$41</f>
        <v>7.2588454485785171E-3</v>
      </c>
      <c r="I31" s="69">
        <f>Balancesheet!I32/Balancesheet!I$41</f>
        <v>7.5340854348483659E-3</v>
      </c>
      <c r="J31" s="69">
        <f>Balancesheet!J32/Balancesheet!J$41</f>
        <v>5.8790183867488714E-3</v>
      </c>
      <c r="K31" s="8" t="s">
        <v>33</v>
      </c>
    </row>
    <row r="32" spans="2:11" x14ac:dyDescent="0.3">
      <c r="B32" s="107"/>
      <c r="C32" s="7"/>
      <c r="D32" s="55" t="s">
        <v>31</v>
      </c>
      <c r="E32" s="60">
        <f>Balancesheet!E33/Balancesheet!E$41</f>
        <v>0.661618984379716</v>
      </c>
      <c r="F32" s="60">
        <f>Balancesheet!F33/Balancesheet!F$41</f>
        <v>0.58862179697312378</v>
      </c>
      <c r="G32" s="60">
        <f>Balancesheet!G33/Balancesheet!G$41</f>
        <v>0.5665331897568624</v>
      </c>
      <c r="H32" s="60">
        <f>Balancesheet!H33/Balancesheet!H$41</f>
        <v>0.58437993314711845</v>
      </c>
      <c r="I32" s="60">
        <f>Balancesheet!I33/Balancesheet!I$41</f>
        <v>0.60424555516967104</v>
      </c>
      <c r="J32" s="60">
        <f>Balancesheet!J33/Balancesheet!J$41</f>
        <v>0.49997371551752129</v>
      </c>
      <c r="K32" s="8"/>
    </row>
    <row r="33" spans="2:11" x14ac:dyDescent="0.3">
      <c r="B33" s="107"/>
      <c r="C33" s="103" t="s">
        <v>34</v>
      </c>
      <c r="D33" s="7" t="s">
        <v>28</v>
      </c>
      <c r="E33" s="69">
        <f>Balancesheet!E34/Balancesheet!E$41</f>
        <v>7.9444596342839013E-2</v>
      </c>
      <c r="F33" s="69">
        <f>Balancesheet!F34/Balancesheet!F$41</f>
        <v>0.11656828506039067</v>
      </c>
      <c r="G33" s="69">
        <f>Balancesheet!G34/Balancesheet!G$41</f>
        <v>8.3827547118222212E-2</v>
      </c>
      <c r="H33" s="69">
        <f>Balancesheet!H34/Balancesheet!H$41</f>
        <v>0.14793677330358604</v>
      </c>
      <c r="I33" s="69">
        <f>Balancesheet!I34/Balancesheet!I$41</f>
        <v>0.13166847083272651</v>
      </c>
      <c r="J33" s="69">
        <f>Balancesheet!J34/Balancesheet!J$41</f>
        <v>0.22063445718190838</v>
      </c>
      <c r="K33" s="8" t="s">
        <v>5</v>
      </c>
    </row>
    <row r="34" spans="2:11" x14ac:dyDescent="0.3">
      <c r="B34" s="107"/>
      <c r="C34" s="104"/>
      <c r="D34" s="7" t="s">
        <v>35</v>
      </c>
      <c r="E34" s="69">
        <f>Balancesheet!E35/Balancesheet!E$41</f>
        <v>1.5657449787717059E-2</v>
      </c>
      <c r="F34" s="69">
        <f>Balancesheet!F35/Balancesheet!F$41</f>
        <v>1.1565687321680873E-2</v>
      </c>
      <c r="G34" s="69">
        <f>Balancesheet!G35/Balancesheet!G$41</f>
        <v>1.3124865694688089E-2</v>
      </c>
      <c r="H34" s="69">
        <f>Balancesheet!H35/Balancesheet!H$41</f>
        <v>1.1432097820658854E-2</v>
      </c>
      <c r="I34" s="69">
        <f>Balancesheet!I35/Balancesheet!I$41</f>
        <v>1.1186996560647988E-2</v>
      </c>
      <c r="J34" s="69">
        <f>Balancesheet!J35/Balancesheet!J$41</f>
        <v>1.4178385583647771E-2</v>
      </c>
      <c r="K34" s="8" t="s">
        <v>5</v>
      </c>
    </row>
    <row r="35" spans="2:11" x14ac:dyDescent="0.3">
      <c r="B35" s="107"/>
      <c r="C35" s="104"/>
      <c r="D35" s="7" t="s">
        <v>36</v>
      </c>
      <c r="E35" s="69">
        <f>Balancesheet!E36/Balancesheet!E$41</f>
        <v>0.15018505958954292</v>
      </c>
      <c r="F35" s="69">
        <f>Balancesheet!F36/Balancesheet!F$41</f>
        <v>0.18630590807680705</v>
      </c>
      <c r="G35" s="69">
        <f>Balancesheet!G36/Balancesheet!G$41</f>
        <v>0.22220145429710528</v>
      </c>
      <c r="H35" s="69">
        <f>Balancesheet!H36/Balancesheet!H$41</f>
        <v>0.1461658685331316</v>
      </c>
      <c r="I35" s="69">
        <f>Balancesheet!I36/Balancesheet!I$41</f>
        <v>0.14916718947804752</v>
      </c>
      <c r="J35" s="69">
        <f>Balancesheet!J36/Balancesheet!J$41</f>
        <v>0.16368167583163601</v>
      </c>
      <c r="K35" s="8" t="s">
        <v>10</v>
      </c>
    </row>
    <row r="36" spans="2:11" x14ac:dyDescent="0.3">
      <c r="B36" s="107"/>
      <c r="C36" s="104"/>
      <c r="D36" s="7" t="s">
        <v>37</v>
      </c>
      <c r="E36" s="69">
        <f>Balancesheet!E37/Balancesheet!E$41</f>
        <v>3.1843505988544886E-2</v>
      </c>
      <c r="F36" s="69">
        <f>Balancesheet!F37/Balancesheet!F$41</f>
        <v>3.4869671330702123E-2</v>
      </c>
      <c r="G36" s="69">
        <f>Balancesheet!G37/Balancesheet!G$41</f>
        <v>3.1017359141382549E-2</v>
      </c>
      <c r="H36" s="69">
        <f>Balancesheet!H37/Balancesheet!H$41</f>
        <v>3.4243705929734809E-2</v>
      </c>
      <c r="I36" s="69">
        <f>Balancesheet!I37/Balancesheet!I$41</f>
        <v>3.4394570417091451E-2</v>
      </c>
      <c r="J36" s="69">
        <f>Balancesheet!J37/Balancesheet!J$41</f>
        <v>3.293931164121313E-2</v>
      </c>
      <c r="K36" s="8" t="s">
        <v>10</v>
      </c>
    </row>
    <row r="37" spans="2:11" x14ac:dyDescent="0.3">
      <c r="B37" s="107"/>
      <c r="C37" s="104"/>
      <c r="D37" s="7" t="s">
        <v>29</v>
      </c>
      <c r="E37" s="69">
        <f>Balancesheet!E38/Balancesheet!E$41</f>
        <v>5.7111034570101901E-2</v>
      </c>
      <c r="F37" s="69">
        <f>Balancesheet!F38/Balancesheet!F$41</f>
        <v>5.5409970888559895E-2</v>
      </c>
      <c r="G37" s="69">
        <f>Balancesheet!G38/Balancesheet!G$41</f>
        <v>7.3205547099570764E-2</v>
      </c>
      <c r="H37" s="69">
        <f>Balancesheet!H38/Balancesheet!H$41</f>
        <v>7.5701322439080371E-2</v>
      </c>
      <c r="I37" s="69">
        <f>Balancesheet!I38/Balancesheet!I$41</f>
        <v>6.9287853877953415E-2</v>
      </c>
      <c r="J37" s="69">
        <f>Balancesheet!J38/Balancesheet!J$41</f>
        <v>6.8490832072961708E-2</v>
      </c>
      <c r="K37" s="8" t="s">
        <v>5</v>
      </c>
    </row>
    <row r="38" spans="2:11" x14ac:dyDescent="0.3">
      <c r="B38" s="107"/>
      <c r="C38" s="105"/>
      <c r="D38" s="7" t="s">
        <v>153</v>
      </c>
      <c r="E38" s="69">
        <f>Balancesheet!E39/Balancesheet!E$41</f>
        <v>4.1393693415382139E-3</v>
      </c>
      <c r="F38" s="69">
        <f>Balancesheet!F39/Balancesheet!F$41</f>
        <v>6.6586803487354036E-3</v>
      </c>
      <c r="G38" s="69">
        <f>Balancesheet!G39/Balancesheet!G$41</f>
        <v>1.0090036892168634E-2</v>
      </c>
      <c r="H38" s="69">
        <f>Balancesheet!H39/Balancesheet!H$41</f>
        <v>1.4029882668974237E-4</v>
      </c>
      <c r="I38" s="69">
        <f>Balancesheet!I39/Balancesheet!I$41</f>
        <v>4.9363663862157041E-5</v>
      </c>
      <c r="J38" s="69">
        <f>Balancesheet!J39/Balancesheet!J$41</f>
        <v>1.0162217111164612E-4</v>
      </c>
      <c r="K38" s="8" t="s">
        <v>5</v>
      </c>
    </row>
    <row r="39" spans="2:11" x14ac:dyDescent="0.3">
      <c r="B39" s="107"/>
      <c r="C39" s="7"/>
      <c r="D39" s="55" t="s">
        <v>38</v>
      </c>
      <c r="E39" s="60">
        <f>Balancesheet!E40/Balancesheet!E$41</f>
        <v>0.33838101562028405</v>
      </c>
      <c r="F39" s="60">
        <f>Balancesheet!F40/Balancesheet!F$41</f>
        <v>0.41137820302687611</v>
      </c>
      <c r="G39" s="60">
        <f>Balancesheet!G40/Balancesheet!G$41</f>
        <v>0.4334668102431376</v>
      </c>
      <c r="H39" s="60">
        <f>Balancesheet!H40/Balancesheet!H$41</f>
        <v>0.41562006685288144</v>
      </c>
      <c r="I39" s="60">
        <f>Balancesheet!I40/Balancesheet!I$41</f>
        <v>0.39575444483032901</v>
      </c>
      <c r="J39" s="60">
        <f>Balancesheet!J40/Balancesheet!J$41</f>
        <v>0.50002628448247866</v>
      </c>
      <c r="K39" s="8"/>
    </row>
    <row r="40" spans="2:11" x14ac:dyDescent="0.3">
      <c r="D40" s="5" t="s">
        <v>40</v>
      </c>
      <c r="E40" s="11">
        <f t="shared" ref="E40:J40" si="1">E32+E39</f>
        <v>1</v>
      </c>
      <c r="F40" s="11">
        <f t="shared" si="1"/>
        <v>0.99999999999999989</v>
      </c>
      <c r="G40" s="11">
        <f t="shared" si="1"/>
        <v>1</v>
      </c>
      <c r="H40" s="11">
        <f t="shared" si="1"/>
        <v>0.99999999999999989</v>
      </c>
      <c r="I40" s="11">
        <f>I32+I39</f>
        <v>1</v>
      </c>
      <c r="J40" s="11">
        <f t="shared" si="1"/>
        <v>1</v>
      </c>
      <c r="K40" s="8"/>
    </row>
  </sheetData>
  <mergeCells count="6">
    <mergeCell ref="B3:B22"/>
    <mergeCell ref="C3:C13"/>
    <mergeCell ref="C15:C21"/>
    <mergeCell ref="B25:B39"/>
    <mergeCell ref="C25:C31"/>
    <mergeCell ref="C33:C38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8E3E-800F-4944-9812-DED5AC0B10B1}">
  <dimension ref="B2:J16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ColWidth="9.21875" defaultRowHeight="14.4" x14ac:dyDescent="0.3"/>
  <cols>
    <col min="1" max="1" width="9.21875" style="1"/>
    <col min="2" max="2" width="18.77734375" style="1" bestFit="1" customWidth="1"/>
    <col min="3" max="3" width="41.44140625" style="1" bestFit="1" customWidth="1"/>
    <col min="4" max="9" width="9" style="1" bestFit="1" customWidth="1"/>
    <col min="10" max="10" width="46.33203125" style="1" bestFit="1" customWidth="1"/>
    <col min="11" max="16384" width="9.21875" style="1"/>
  </cols>
  <sheetData>
    <row r="2" spans="2:10" x14ac:dyDescent="0.3">
      <c r="C2" s="9" t="s">
        <v>2</v>
      </c>
      <c r="D2" s="9">
        <v>2015</v>
      </c>
      <c r="E2" s="9">
        <v>2016</v>
      </c>
      <c r="F2" s="9">
        <v>2017</v>
      </c>
      <c r="G2" s="9">
        <v>2018</v>
      </c>
      <c r="H2" s="9">
        <v>2019</v>
      </c>
      <c r="I2" s="9">
        <v>2020</v>
      </c>
      <c r="J2" s="8" t="s">
        <v>4</v>
      </c>
    </row>
    <row r="3" spans="2:10" x14ac:dyDescent="0.3">
      <c r="C3" s="10" t="s">
        <v>41</v>
      </c>
      <c r="D3" s="63">
        <f>'P&amp;L'!D3/'P&amp;L'!D$3</f>
        <v>1</v>
      </c>
      <c r="E3" s="63">
        <f>'P&amp;L'!E3/'P&amp;L'!E$3</f>
        <v>1</v>
      </c>
      <c r="F3" s="63">
        <f>'P&amp;L'!F3/'P&amp;L'!F$3</f>
        <v>1</v>
      </c>
      <c r="G3" s="63">
        <f>'P&amp;L'!G3/'P&amp;L'!G$3</f>
        <v>1</v>
      </c>
      <c r="H3" s="63">
        <f>'P&amp;L'!H3/'P&amp;L'!H$3</f>
        <v>1</v>
      </c>
      <c r="I3" s="63">
        <f>'P&amp;L'!I3/'P&amp;L'!I$3</f>
        <v>1</v>
      </c>
      <c r="J3" s="8" t="s">
        <v>5</v>
      </c>
    </row>
    <row r="4" spans="2:10" x14ac:dyDescent="0.3">
      <c r="B4" s="58"/>
      <c r="C4" s="61" t="s">
        <v>43</v>
      </c>
      <c r="D4" s="62">
        <f>-'P&amp;L'!D4/'P&amp;L'!D$3</f>
        <v>8.8316070733496389E-3</v>
      </c>
      <c r="E4" s="62">
        <f>-'P&amp;L'!E4/'P&amp;L'!E$3</f>
        <v>9.8091186430530643E-3</v>
      </c>
      <c r="F4" s="62">
        <f>-'P&amp;L'!F4/'P&amp;L'!F$3</f>
        <v>8.7708265222676933E-3</v>
      </c>
      <c r="G4" s="62">
        <f>-'P&amp;L'!G4/'P&amp;L'!G$3</f>
        <v>7.9153393413072919E-3</v>
      </c>
      <c r="H4" s="62">
        <f>-'P&amp;L'!H4/'P&amp;L'!H$3</f>
        <v>9.4190086534376664E-3</v>
      </c>
      <c r="I4" s="62">
        <f>-'P&amp;L'!I4/'P&amp;L'!I$3</f>
        <v>1.1812493246094969E-2</v>
      </c>
      <c r="J4" s="8" t="s">
        <v>5</v>
      </c>
    </row>
    <row r="5" spans="2:10" x14ac:dyDescent="0.3">
      <c r="B5" s="58"/>
      <c r="C5" s="61" t="s">
        <v>44</v>
      </c>
      <c r="D5" s="62">
        <f>-'P&amp;L'!D5/'P&amp;L'!D$3</f>
        <v>0.81162419661558216</v>
      </c>
      <c r="E5" s="62">
        <f>-'P&amp;L'!E5/'P&amp;L'!E$3</f>
        <v>0.81274803580743149</v>
      </c>
      <c r="F5" s="62">
        <f>-'P&amp;L'!F5/'P&amp;L'!F$3</f>
        <v>0.77311756023465417</v>
      </c>
      <c r="G5" s="62">
        <f>-'P&amp;L'!G5/'P&amp;L'!G$3</f>
        <v>0.77653702984250239</v>
      </c>
      <c r="H5" s="62">
        <f>-'P&amp;L'!H5/'P&amp;L'!H$3</f>
        <v>0.81098337884217742</v>
      </c>
      <c r="I5" s="62">
        <f>-'P&amp;L'!I5/'P&amp;L'!I$3</f>
        <v>0.81960693801903128</v>
      </c>
      <c r="J5" s="8" t="s">
        <v>5</v>
      </c>
    </row>
    <row r="6" spans="2:10" x14ac:dyDescent="0.3">
      <c r="B6" s="58"/>
      <c r="C6" s="61" t="s">
        <v>47</v>
      </c>
      <c r="D6" s="62">
        <f>-'P&amp;L'!D6/'P&amp;L'!D$3</f>
        <v>0.12806471709181361</v>
      </c>
      <c r="E6" s="62">
        <f>-'P&amp;L'!E6/'P&amp;L'!E$3</f>
        <v>0.11611310845303438</v>
      </c>
      <c r="F6" s="62">
        <f>-'P&amp;L'!F6/'P&amp;L'!F$3</f>
        <v>0.16105423901734839</v>
      </c>
      <c r="G6" s="62">
        <f>-'P&amp;L'!G6/'P&amp;L'!G$3</f>
        <v>0.16599049455437062</v>
      </c>
      <c r="H6" s="62">
        <f>-'P&amp;L'!H6/'P&amp;L'!H$3</f>
        <v>0.13627516133751932</v>
      </c>
      <c r="I6" s="62">
        <f>-'P&amp;L'!I6/'P&amp;L'!I$3</f>
        <v>0.12091457558970511</v>
      </c>
      <c r="J6" s="8" t="s">
        <v>5</v>
      </c>
    </row>
    <row r="7" spans="2:10" x14ac:dyDescent="0.3">
      <c r="C7" s="61" t="s">
        <v>52</v>
      </c>
      <c r="D7" s="62">
        <f>-'P&amp;L'!D7/'P&amp;L'!D$3</f>
        <v>0.94852052078074534</v>
      </c>
      <c r="E7" s="62">
        <f>-'P&amp;L'!E7/'P&amp;L'!E$3</f>
        <v>0.93867026290351896</v>
      </c>
      <c r="F7" s="62">
        <f>-'P&amp;L'!F7/'P&amp;L'!F$3</f>
        <v>0.94294262577427024</v>
      </c>
      <c r="G7" s="62">
        <f>-'P&amp;L'!G7/'P&amp;L'!G$3</f>
        <v>0.95044286373818043</v>
      </c>
      <c r="H7" s="62">
        <f>-'P&amp;L'!H7/'P&amp;L'!H$3</f>
        <v>0.95667754883313438</v>
      </c>
      <c r="I7" s="62">
        <f>-'P&amp;L'!I7/'P&amp;L'!I$3</f>
        <v>0.95233400685483138</v>
      </c>
    </row>
    <row r="8" spans="2:10" x14ac:dyDescent="0.3">
      <c r="C8" s="10" t="s">
        <v>51</v>
      </c>
      <c r="D8" s="63">
        <f>'P&amp;L'!D8/'P&amp;L'!D$3</f>
        <v>5.1479479219254665E-2</v>
      </c>
      <c r="E8" s="63">
        <f>'P&amp;L'!E8/'P&amp;L'!E$3</f>
        <v>6.1329737096480999E-2</v>
      </c>
      <c r="F8" s="63">
        <f>'P&amp;L'!F8/'P&amp;L'!F$3</f>
        <v>5.7057374225729783E-2</v>
      </c>
      <c r="G8" s="63">
        <f>'P&amp;L'!G8/'P&amp;L'!G$3</f>
        <v>4.9557136261819582E-2</v>
      </c>
      <c r="H8" s="63">
        <f>'P&amp;L'!H8/'P&amp;L'!H$3</f>
        <v>4.3322451166865603E-2</v>
      </c>
      <c r="I8" s="63">
        <f>'P&amp;L'!I8/'P&amp;L'!I$3</f>
        <v>4.7665993145168561E-2</v>
      </c>
      <c r="J8" s="1" t="s">
        <v>154</v>
      </c>
    </row>
    <row r="9" spans="2:10" x14ac:dyDescent="0.3">
      <c r="C9" s="61" t="s">
        <v>46</v>
      </c>
      <c r="D9" s="62">
        <f>'P&amp;L'!D9/'P&amp;L'!D$3</f>
        <v>-9.2976824661901505E-3</v>
      </c>
      <c r="E9" s="62">
        <f>'P&amp;L'!E9/'P&amp;L'!E$3</f>
        <v>-1.5125337559689462E-2</v>
      </c>
      <c r="F9" s="62">
        <f>'P&amp;L'!F9/'P&amp;L'!F$3</f>
        <v>-1.2383722509954747E-2</v>
      </c>
      <c r="G9" s="62">
        <f>'P&amp;L'!G9/'P&amp;L'!G$3</f>
        <v>-1.1089587154923574E-2</v>
      </c>
      <c r="H9" s="62">
        <f>'P&amp;L'!H9/'P&amp;L'!H$3</f>
        <v>-1.1870580956091163E-2</v>
      </c>
      <c r="I9" s="62">
        <f>'P&amp;L'!I9/'P&amp;L'!I$3</f>
        <v>-1.3565144344968061E-2</v>
      </c>
      <c r="J9" s="8" t="s">
        <v>5</v>
      </c>
    </row>
    <row r="10" spans="2:10" x14ac:dyDescent="0.3">
      <c r="C10" s="10" t="s">
        <v>53</v>
      </c>
      <c r="D10" s="63">
        <f>'P&amp;L'!D10/'P&amp;L'!D$3</f>
        <v>4.2181796753064514E-2</v>
      </c>
      <c r="E10" s="63">
        <f>'P&amp;L'!E10/'P&amp;L'!E$3</f>
        <v>4.6204399536791535E-2</v>
      </c>
      <c r="F10" s="63">
        <f>'P&amp;L'!F10/'P&amp;L'!F$3</f>
        <v>4.4673651715775031E-2</v>
      </c>
      <c r="G10" s="63">
        <f>'P&amp;L'!G10/'P&amp;L'!G$3</f>
        <v>3.846754910689601E-2</v>
      </c>
      <c r="H10" s="63">
        <f>'P&amp;L'!H10/'P&amp;L'!H$3</f>
        <v>3.1451870210774439E-2</v>
      </c>
      <c r="I10" s="63">
        <f>'P&amp;L'!I10/'P&amp;L'!I$3</f>
        <v>3.4100848800200506E-2</v>
      </c>
      <c r="J10" s="1" t="s">
        <v>155</v>
      </c>
    </row>
    <row r="11" spans="2:10" x14ac:dyDescent="0.3">
      <c r="C11" s="61" t="s">
        <v>42</v>
      </c>
      <c r="D11" s="62">
        <f>'P&amp;L'!D11/'P&amp;L'!D$3</f>
        <v>2.4940531684033594E-3</v>
      </c>
      <c r="E11" s="62">
        <f>'P&amp;L'!E11/'P&amp;L'!E$3</f>
        <v>6.2632834761276327E-3</v>
      </c>
      <c r="F11" s="62">
        <f>'P&amp;L'!F11/'P&amp;L'!F$3</f>
        <v>5.2347768848282031E-2</v>
      </c>
      <c r="G11" s="62">
        <f>'P&amp;L'!G11/'P&amp;L'!G$3</f>
        <v>5.2369621225647365E-3</v>
      </c>
      <c r="H11" s="62">
        <f>'P&amp;L'!H11/'P&amp;L'!H$3</f>
        <v>2.8858306788955893E-3</v>
      </c>
      <c r="I11" s="62">
        <f>'P&amp;L'!I11/'P&amp;L'!I$3</f>
        <v>3.4797749853707869E-3</v>
      </c>
      <c r="J11" s="8" t="s">
        <v>10</v>
      </c>
    </row>
    <row r="12" spans="2:10" x14ac:dyDescent="0.3">
      <c r="C12" s="61" t="s">
        <v>45</v>
      </c>
      <c r="D12" s="62">
        <f>'P&amp;L'!D12/'P&amp;L'!D$3</f>
        <v>-1.3228589961221006E-2</v>
      </c>
      <c r="E12" s="62">
        <f>'P&amp;L'!E12/'P&amp;L'!E$3</f>
        <v>-1.788097015426687E-2</v>
      </c>
      <c r="F12" s="62">
        <f>'P&amp;L'!F12/'P&amp;L'!F$3</f>
        <v>-1.3941685299404951E-2</v>
      </c>
      <c r="G12" s="62">
        <f>'P&amp;L'!G12/'P&amp;L'!G$3</f>
        <v>-9.7789299931723347E-3</v>
      </c>
      <c r="H12" s="62">
        <f>'P&amp;L'!H12/'P&amp;L'!H$3</f>
        <v>-1.0126320094343447E-2</v>
      </c>
      <c r="I12" s="62">
        <f>'P&amp;L'!I12/'P&amp;L'!I$3</f>
        <v>-1.2083342678359163E-2</v>
      </c>
      <c r="J12" s="8" t="s">
        <v>10</v>
      </c>
    </row>
    <row r="13" spans="2:10" x14ac:dyDescent="0.3">
      <c r="C13" s="61" t="s">
        <v>48</v>
      </c>
      <c r="D13" s="62">
        <f>'P&amp;L'!D13/'P&amp;L'!D$3</f>
        <v>-1.9087098438196302E-3</v>
      </c>
      <c r="E13" s="62">
        <f>'P&amp;L'!E13/'P&amp;L'!E$3</f>
        <v>-5.1890558181183488E-4</v>
      </c>
      <c r="F13" s="62">
        <f>'P&amp;L'!F13/'P&amp;L'!F$3</f>
        <v>5.9820512168763089E-5</v>
      </c>
      <c r="G13" s="62">
        <f>'P&amp;L'!G13/'P&amp;L'!G$3</f>
        <v>2.5857245735095354E-4</v>
      </c>
      <c r="H13" s="62">
        <f>'P&amp;L'!H13/'P&amp;L'!H$3</f>
        <v>9.0015847301816172E-4</v>
      </c>
      <c r="I13" s="62">
        <f>'P&amp;L'!I13/'P&amp;L'!I$3</f>
        <v>2.0296988319057534E-3</v>
      </c>
      <c r="J13" s="8" t="s">
        <v>10</v>
      </c>
    </row>
    <row r="14" spans="2:10" x14ac:dyDescent="0.3">
      <c r="C14" s="10" t="s">
        <v>49</v>
      </c>
      <c r="D14" s="63">
        <f>'P&amp;L'!D15/'P&amp;L'!D$3</f>
        <v>2.9538550116427233E-2</v>
      </c>
      <c r="E14" s="63">
        <f>'P&amp;L'!E15/'P&amp;L'!E$3</f>
        <v>3.4067807276840466E-2</v>
      </c>
      <c r="F14" s="63">
        <f>'P&amp;L'!F15/'P&amp;L'!F$3</f>
        <v>5.2873663460754707E-2</v>
      </c>
      <c r="G14" s="63">
        <f>'P&amp;L'!G15/'P&amp;L'!G$3</f>
        <v>3.4184153693639363E-2</v>
      </c>
      <c r="H14" s="63">
        <f>'P&amp;L'!H15/'P&amp;L'!H$3</f>
        <v>2.5111539268344741E-2</v>
      </c>
      <c r="I14" s="63">
        <f>'P&amp;L'!I15/'P&amp;L'!I$3</f>
        <v>2.2176459913916896E-2</v>
      </c>
      <c r="J14" s="1" t="s">
        <v>156</v>
      </c>
    </row>
    <row r="15" spans="2:10" x14ac:dyDescent="0.3">
      <c r="C15" s="61" t="s">
        <v>54</v>
      </c>
      <c r="D15" s="62">
        <f>'P&amp;L'!D16/'P&amp;L'!D$3</f>
        <v>7.2660392459165132E-4</v>
      </c>
      <c r="E15" s="62">
        <f>'P&amp;L'!E16/'P&amp;L'!E$3</f>
        <v>-7.4975551450613938E-3</v>
      </c>
      <c r="F15" s="62">
        <f>'P&amp;L'!F16/'P&amp;L'!F$3</f>
        <v>-1.2641629992821538E-2</v>
      </c>
      <c r="G15" s="62">
        <f>'P&amp;L'!G16/'P&amp;L'!G$3</f>
        <v>-1.7828675317693189E-3</v>
      </c>
      <c r="H15" s="62">
        <f>'P&amp;L'!H16/'P&amp;L'!H$3</f>
        <v>5.428626326264039E-3</v>
      </c>
      <c r="I15" s="62">
        <f>'P&amp;L'!I16/'P&amp;L'!I$3</f>
        <v>-6.6774457291872685E-3</v>
      </c>
      <c r="J15" s="8" t="s">
        <v>5</v>
      </c>
    </row>
    <row r="16" spans="2:10" x14ac:dyDescent="0.3">
      <c r="C16" s="10" t="s">
        <v>63</v>
      </c>
      <c r="D16" s="63">
        <f>'P&amp;L'!D17/'P&amp;L'!D$3</f>
        <v>3.0265154041018885E-2</v>
      </c>
      <c r="E16" s="63">
        <f>'P&amp;L'!E17/'P&amp;L'!E$3</f>
        <v>2.6570252131779076E-2</v>
      </c>
      <c r="F16" s="63">
        <f>'P&amp;L'!F17/'P&amp;L'!F$3</f>
        <v>4.0232033467933165E-2</v>
      </c>
      <c r="G16" s="63">
        <f>'P&amp;L'!G17/'P&amp;L'!G$3</f>
        <v>3.240128616187004E-2</v>
      </c>
      <c r="H16" s="63">
        <f>'P&amp;L'!H17/'P&amp;L'!H$3</f>
        <v>3.054016559460878E-2</v>
      </c>
      <c r="I16" s="63">
        <f>'P&amp;L'!I17/'P&amp;L'!I$3</f>
        <v>1.5499014184729626E-2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76CC-4903-4C32-8CB7-08B6C61868D0}">
  <dimension ref="D3:K24"/>
  <sheetViews>
    <sheetView showGridLines="0" workbookViewId="0">
      <selection activeCell="F23" activeCellId="4" sqref="F4:K4 F7:K8 F11:K11 F14:K15 F23:K23"/>
    </sheetView>
  </sheetViews>
  <sheetFormatPr defaultRowHeight="14.4" x14ac:dyDescent="0.3"/>
  <cols>
    <col min="4" max="4" width="14.88671875" bestFit="1" customWidth="1"/>
    <col min="5" max="5" width="28.5546875" bestFit="1" customWidth="1"/>
    <col min="6" max="8" width="10.44140625" bestFit="1" customWidth="1"/>
    <col min="9" max="11" width="11.88671875" bestFit="1" customWidth="1"/>
  </cols>
  <sheetData>
    <row r="3" spans="4:11" x14ac:dyDescent="0.3">
      <c r="E3" s="9" t="s">
        <v>2</v>
      </c>
      <c r="F3" s="9">
        <v>2015</v>
      </c>
      <c r="G3" s="9">
        <v>2016</v>
      </c>
      <c r="H3" s="9">
        <v>2017</v>
      </c>
      <c r="I3" s="9">
        <v>2018</v>
      </c>
      <c r="J3" s="9">
        <v>2019</v>
      </c>
      <c r="K3" s="9">
        <v>2020</v>
      </c>
    </row>
    <row r="4" spans="4:11" x14ac:dyDescent="0.3">
      <c r="D4" s="107" t="s">
        <v>60</v>
      </c>
      <c r="E4" s="2" t="str">
        <f>'P&amp;L'!C3</f>
        <v>Revenue from Operations</v>
      </c>
      <c r="F4" s="88">
        <f>'P&amp;L'!D3</f>
        <v>70932.73</v>
      </c>
      <c r="G4" s="88">
        <f>'P&amp;L'!E3</f>
        <v>84851.66</v>
      </c>
      <c r="H4" s="88">
        <f>'P&amp;L'!F3</f>
        <v>91273.04</v>
      </c>
      <c r="I4" s="88">
        <f>'P&amp;L'!G3</f>
        <v>100590.76</v>
      </c>
      <c r="J4" s="88">
        <f>'P&amp;L'!H3</f>
        <v>113457.8</v>
      </c>
      <c r="K4" s="88">
        <f>'P&amp;L'!I3</f>
        <v>122614.25</v>
      </c>
    </row>
    <row r="5" spans="4:11" x14ac:dyDescent="0.3">
      <c r="D5" s="107"/>
      <c r="E5" s="15" t="s">
        <v>58</v>
      </c>
      <c r="F5" s="15"/>
      <c r="G5" s="17">
        <f>G4/F4-1</f>
        <v>0.19622718595491828</v>
      </c>
      <c r="H5" s="17">
        <f t="shared" ref="H5:K5" si="0">H4/G4-1</f>
        <v>7.5677718031680108E-2</v>
      </c>
      <c r="I5" s="17">
        <f t="shared" si="0"/>
        <v>0.10208622392767897</v>
      </c>
      <c r="J5" s="17">
        <f t="shared" si="0"/>
        <v>0.1279147309355253</v>
      </c>
      <c r="K5" s="17">
        <f t="shared" si="0"/>
        <v>8.0703574368619746E-2</v>
      </c>
    </row>
    <row r="7" spans="4:11" x14ac:dyDescent="0.3">
      <c r="D7" s="107" t="s">
        <v>74</v>
      </c>
      <c r="E7" s="2" t="s">
        <v>14</v>
      </c>
      <c r="F7" s="82">
        <f>Balancesheet!E23</f>
        <v>21136.77</v>
      </c>
      <c r="G7" s="82">
        <f>Balancesheet!F23</f>
        <v>23918.770000000004</v>
      </c>
      <c r="H7" s="82">
        <f>Balancesheet!G23</f>
        <v>29132.769999999997</v>
      </c>
      <c r="I7" s="82">
        <f>Balancesheet!H23</f>
        <v>27701.919999999998</v>
      </c>
      <c r="J7" s="82">
        <f>Balancesheet!I23</f>
        <v>32442.99</v>
      </c>
      <c r="K7" s="82">
        <f>Balancesheet!J23</f>
        <v>35645.339999999997</v>
      </c>
    </row>
    <row r="8" spans="4:11" x14ac:dyDescent="0.3">
      <c r="D8" s="107"/>
      <c r="E8" s="2" t="s">
        <v>34</v>
      </c>
      <c r="F8" s="82">
        <f>Balancesheet!E40</f>
        <v>14294.280000000002</v>
      </c>
      <c r="G8" s="82">
        <f>Balancesheet!F40</f>
        <v>19137.820000000003</v>
      </c>
      <c r="H8" s="82">
        <f>Balancesheet!G40</f>
        <v>21845.960000000003</v>
      </c>
      <c r="I8" s="82">
        <f>Balancesheet!H40</f>
        <v>21181.100000000002</v>
      </c>
      <c r="J8" s="82">
        <f>Balancesheet!I40</f>
        <v>22608.28</v>
      </c>
      <c r="K8" s="82">
        <f>Balancesheet!J40</f>
        <v>29867.1</v>
      </c>
    </row>
    <row r="9" spans="4:11" x14ac:dyDescent="0.3">
      <c r="D9" s="107"/>
      <c r="E9" s="15" t="s">
        <v>59</v>
      </c>
      <c r="F9" s="18">
        <f>F7/F8</f>
        <v>1.478687279107447</v>
      </c>
      <c r="G9" s="18">
        <f t="shared" ref="G9:K9" si="1">G7/G8</f>
        <v>1.2498168547932837</v>
      </c>
      <c r="H9" s="18">
        <f t="shared" si="1"/>
        <v>1.3335541216774174</v>
      </c>
      <c r="I9" s="18">
        <f t="shared" si="1"/>
        <v>1.3078603094268</v>
      </c>
      <c r="J9" s="18">
        <f t="shared" si="1"/>
        <v>1.435004785857217</v>
      </c>
      <c r="K9" s="18">
        <f t="shared" si="1"/>
        <v>1.193465050172263</v>
      </c>
    </row>
    <row r="11" spans="4:11" x14ac:dyDescent="0.3">
      <c r="D11" s="107" t="s">
        <v>73</v>
      </c>
      <c r="E11" s="2" t="s">
        <v>51</v>
      </c>
      <c r="F11" s="82">
        <f>'P&amp;L'!D8</f>
        <v>3651.5800000000017</v>
      </c>
      <c r="G11" s="82">
        <f>'P&amp;L'!E8</f>
        <v>5203.929999999993</v>
      </c>
      <c r="H11" s="82">
        <f>'P&amp;L'!F8</f>
        <v>5207.8000000000029</v>
      </c>
      <c r="I11" s="82">
        <f>'P&amp;L'!G8</f>
        <v>4984.9899999999907</v>
      </c>
      <c r="J11" s="82">
        <f>'P&amp;L'!H8</f>
        <v>4915.2700000000041</v>
      </c>
      <c r="K11" s="82">
        <f>'P&amp;L'!I8</f>
        <v>5844.5299999999843</v>
      </c>
    </row>
    <row r="12" spans="4:11" x14ac:dyDescent="0.3">
      <c r="D12" s="107"/>
      <c r="E12" s="15" t="s">
        <v>61</v>
      </c>
      <c r="F12" s="17">
        <f>F11/F4</f>
        <v>5.1479479219254665E-2</v>
      </c>
      <c r="G12" s="17">
        <f t="shared" ref="G12:K12" si="2">G11/G4</f>
        <v>6.1329737096480999E-2</v>
      </c>
      <c r="H12" s="17">
        <f t="shared" si="2"/>
        <v>5.7057374225729783E-2</v>
      </c>
      <c r="I12" s="17">
        <f t="shared" si="2"/>
        <v>4.9557136261819582E-2</v>
      </c>
      <c r="J12" s="17">
        <f t="shared" si="2"/>
        <v>4.3322451166865603E-2</v>
      </c>
      <c r="K12" s="17">
        <f t="shared" si="2"/>
        <v>4.7665993145168561E-2</v>
      </c>
    </row>
    <row r="14" spans="4:11" x14ac:dyDescent="0.3">
      <c r="D14" s="107" t="s">
        <v>66</v>
      </c>
      <c r="E14" s="2" t="s">
        <v>62</v>
      </c>
      <c r="F14" s="82">
        <f>'P&amp;L'!D17</f>
        <v>2146.7900000000013</v>
      </c>
      <c r="G14" s="82">
        <f>'P&amp;L'!E17</f>
        <v>2254.5299999999934</v>
      </c>
      <c r="H14" s="82">
        <f>'P&amp;L'!F17</f>
        <v>3672.1000000000022</v>
      </c>
      <c r="I14" s="82">
        <f>'P&amp;L'!G17</f>
        <v>3259.2699999999904</v>
      </c>
      <c r="J14" s="82">
        <f>'P&amp;L'!H17</f>
        <v>3465.0200000000041</v>
      </c>
      <c r="K14" s="82">
        <f>'P&amp;L'!I17</f>
        <v>1900.3999999999846</v>
      </c>
    </row>
    <row r="15" spans="4:11" x14ac:dyDescent="0.3">
      <c r="D15" s="107"/>
      <c r="E15" s="2" t="s">
        <v>64</v>
      </c>
      <c r="F15" s="88">
        <f>Balancesheet!E27+Balancesheet!E26</f>
        <v>12498.929999999998</v>
      </c>
      <c r="G15" s="88">
        <f>Balancesheet!F27+Balancesheet!F26</f>
        <v>13884.19</v>
      </c>
      <c r="H15" s="88">
        <f>Balancesheet!G27+Balancesheet!G26</f>
        <v>18307.629999999997</v>
      </c>
      <c r="I15" s="88">
        <f>Balancesheet!H27+Balancesheet!H26</f>
        <v>20712.52</v>
      </c>
      <c r="J15" s="88">
        <f>Balancesheet!I27+Balancesheet!I26</f>
        <v>23332.93</v>
      </c>
      <c r="K15" s="88">
        <f>Balancesheet!J27+Balancesheet!J26</f>
        <v>24135.37</v>
      </c>
    </row>
    <row r="16" spans="4:11" x14ac:dyDescent="0.3">
      <c r="D16" s="107"/>
      <c r="E16" s="15" t="s">
        <v>65</v>
      </c>
      <c r="F16" s="17">
        <f>F14/F15</f>
        <v>0.17175790247645212</v>
      </c>
      <c r="G16" s="17">
        <f t="shared" ref="G16:K16" si="3">G14/G15</f>
        <v>0.16238109677265963</v>
      </c>
      <c r="H16" s="17">
        <f t="shared" si="3"/>
        <v>0.20057757339426255</v>
      </c>
      <c r="I16" s="17">
        <f t="shared" si="3"/>
        <v>0.15735748233435576</v>
      </c>
      <c r="J16" s="17">
        <f t="shared" si="3"/>
        <v>0.14850342413061729</v>
      </c>
      <c r="K16" s="17">
        <f t="shared" si="3"/>
        <v>7.873921137318321E-2</v>
      </c>
    </row>
    <row r="18" spans="4:11" x14ac:dyDescent="0.3">
      <c r="D18" s="107" t="s">
        <v>70</v>
      </c>
      <c r="E18" s="2" t="s">
        <v>67</v>
      </c>
      <c r="F18" s="16">
        <f>F14/F4</f>
        <v>3.0265154041018885E-2</v>
      </c>
      <c r="G18" s="16">
        <f t="shared" ref="G18:K18" si="4">G14/G4</f>
        <v>2.6570252131779076E-2</v>
      </c>
      <c r="H18" s="16">
        <f t="shared" si="4"/>
        <v>4.0232033467933165E-2</v>
      </c>
      <c r="I18" s="16">
        <f t="shared" si="4"/>
        <v>3.240128616187004E-2</v>
      </c>
      <c r="J18" s="16">
        <f t="shared" si="4"/>
        <v>3.054016559460878E-2</v>
      </c>
      <c r="K18" s="16">
        <f t="shared" si="4"/>
        <v>1.5499014184729626E-2</v>
      </c>
    </row>
    <row r="19" spans="4:11" x14ac:dyDescent="0.3">
      <c r="D19" s="107"/>
      <c r="E19" s="2" t="s">
        <v>68</v>
      </c>
      <c r="F19" s="19">
        <f>F4/Balancesheet!E24</f>
        <v>1.6791534248748021</v>
      </c>
      <c r="G19" s="19">
        <f>G4/Balancesheet!F24</f>
        <v>1.8239341479148337</v>
      </c>
      <c r="H19" s="19">
        <f>H4/Balancesheet!G24</f>
        <v>1.8110366177542347</v>
      </c>
      <c r="I19" s="19">
        <f>I4/Balancesheet!H24</f>
        <v>1.973813371164961</v>
      </c>
      <c r="J19" s="19">
        <f>J4/Balancesheet!I24</f>
        <v>1.9860612417517167</v>
      </c>
      <c r="K19" s="19">
        <f>K4/Balancesheet!J24</f>
        <v>2.052772041882398</v>
      </c>
    </row>
    <row r="20" spans="4:11" x14ac:dyDescent="0.3">
      <c r="D20" s="107"/>
      <c r="E20" s="2" t="s">
        <v>69</v>
      </c>
      <c r="F20" s="20">
        <f>Balancesheet!E24/'Ratio Analysis'!F15</f>
        <v>3.3797413058557817</v>
      </c>
      <c r="G20" s="20">
        <f>Balancesheet!F24/'Ratio Analysis'!G15</f>
        <v>3.3506621560206251</v>
      </c>
      <c r="H20" s="20">
        <f>Balancesheet!G24/'Ratio Analysis'!H15</f>
        <v>2.75285386475475</v>
      </c>
      <c r="I20" s="20">
        <f>Balancesheet!H24/'Ratio Analysis'!I15</f>
        <v>2.4604755964025622</v>
      </c>
      <c r="J20" s="20">
        <f>Balancesheet!I24/'Ratio Analysis'!J15</f>
        <v>2.4483440356611883</v>
      </c>
      <c r="K20" s="20">
        <f>Balancesheet!J24/'Ratio Analysis'!K15</f>
        <v>2.4748350657147578</v>
      </c>
    </row>
    <row r="21" spans="4:11" x14ac:dyDescent="0.3">
      <c r="D21" s="107"/>
      <c r="E21" s="15" t="s">
        <v>66</v>
      </c>
      <c r="F21" s="17">
        <f>F18*F19*F20</f>
        <v>0.17175790247645212</v>
      </c>
      <c r="G21" s="17">
        <f t="shared" ref="G21:K21" si="5">G18*G19*G20</f>
        <v>0.16238109677265966</v>
      </c>
      <c r="H21" s="17">
        <f t="shared" si="5"/>
        <v>0.20057757339426255</v>
      </c>
      <c r="I21" s="17">
        <f t="shared" si="5"/>
        <v>0.15735748233435576</v>
      </c>
      <c r="J21" s="17">
        <f t="shared" si="5"/>
        <v>0.14850342413061732</v>
      </c>
      <c r="K21" s="17">
        <f t="shared" si="5"/>
        <v>7.8739211373183196E-2</v>
      </c>
    </row>
    <row r="23" spans="4:11" x14ac:dyDescent="0.3">
      <c r="D23" s="107" t="s">
        <v>75</v>
      </c>
      <c r="E23" s="2" t="s">
        <v>71</v>
      </c>
      <c r="F23" s="82">
        <f>Balancesheet!E29+Balancesheet!E34</f>
        <v>9497.59</v>
      </c>
      <c r="G23" s="82">
        <f>Balancesheet!F29+Balancesheet!F34</f>
        <v>11721.56</v>
      </c>
      <c r="H23" s="82">
        <f>Balancesheet!G29+Balancesheet!G34</f>
        <v>11645.54</v>
      </c>
      <c r="I23" s="82">
        <f>Balancesheet!H29+Balancesheet!H34</f>
        <v>13608.05</v>
      </c>
      <c r="J23" s="82">
        <f>Balancesheet!I29+Balancesheet!I34</f>
        <v>15553.67</v>
      </c>
      <c r="K23" s="82">
        <f>Balancesheet!J29+Balancesheet!J34</f>
        <v>15479.23</v>
      </c>
    </row>
    <row r="24" spans="4:11" x14ac:dyDescent="0.3">
      <c r="D24" s="107"/>
      <c r="E24" s="15" t="s">
        <v>72</v>
      </c>
      <c r="F24" s="21">
        <f>F23/F15</f>
        <v>0.75987224506417761</v>
      </c>
      <c r="G24" s="21">
        <f t="shared" ref="G24:K24" si="6">G23/G15</f>
        <v>0.84423794258073381</v>
      </c>
      <c r="H24" s="21">
        <f t="shared" si="6"/>
        <v>0.63610308925841319</v>
      </c>
      <c r="I24" s="21">
        <f t="shared" si="6"/>
        <v>0.65699634810250029</v>
      </c>
      <c r="J24" s="21">
        <f t="shared" si="6"/>
        <v>0.66659737975470723</v>
      </c>
      <c r="K24" s="21">
        <f t="shared" si="6"/>
        <v>0.64135043299522654</v>
      </c>
    </row>
  </sheetData>
  <mergeCells count="6">
    <mergeCell ref="D23:D24"/>
    <mergeCell ref="D4:D5"/>
    <mergeCell ref="D7:D9"/>
    <mergeCell ref="D11:D12"/>
    <mergeCell ref="D14:D16"/>
    <mergeCell ref="D18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CA93-F55E-445A-955D-57EBE0A33DE4}">
  <dimension ref="A3:K64"/>
  <sheetViews>
    <sheetView showGridLines="0" topLeftCell="A38" workbookViewId="0">
      <selection activeCell="G4" sqref="G4:G64"/>
    </sheetView>
  </sheetViews>
  <sheetFormatPr defaultColWidth="8.77734375" defaultRowHeight="14.4" x14ac:dyDescent="0.3"/>
  <cols>
    <col min="1" max="2" width="8.77734375" style="1"/>
    <col min="3" max="3" width="11.109375" style="1" customWidth="1"/>
    <col min="4" max="4" width="28.77734375" style="1" bestFit="1" customWidth="1"/>
    <col min="5" max="5" width="17.77734375" style="1" bestFit="1" customWidth="1"/>
    <col min="6" max="6" width="8.77734375" style="1"/>
    <col min="7" max="7" width="10.33203125" style="1" bestFit="1" customWidth="1"/>
    <col min="8" max="8" width="14.5546875" style="1" customWidth="1"/>
    <col min="9" max="9" width="10.44140625" style="1" bestFit="1" customWidth="1"/>
    <col min="10" max="10" width="17" style="1" customWidth="1"/>
    <col min="11" max="16384" width="8.77734375" style="1"/>
  </cols>
  <sheetData>
    <row r="3" spans="1:11" x14ac:dyDescent="0.3">
      <c r="D3" s="107" t="s">
        <v>127</v>
      </c>
      <c r="E3" s="107"/>
      <c r="G3" s="7" t="s">
        <v>140</v>
      </c>
      <c r="H3" s="51" t="s">
        <v>162</v>
      </c>
      <c r="I3" s="7" t="s">
        <v>141</v>
      </c>
      <c r="J3" s="113" t="s">
        <v>185</v>
      </c>
      <c r="K3" s="107" t="s">
        <v>142</v>
      </c>
    </row>
    <row r="4" spans="1:11" x14ac:dyDescent="0.3">
      <c r="D4" s="7" t="s">
        <v>128</v>
      </c>
      <c r="E4" s="12">
        <f>E21/SUM(E21,E22)</f>
        <v>0.75908799375216229</v>
      </c>
      <c r="G4" s="72">
        <v>43922</v>
      </c>
      <c r="H4" s="75">
        <v>419.3</v>
      </c>
      <c r="I4" s="74">
        <v>9859.9</v>
      </c>
      <c r="J4" s="113"/>
      <c r="K4" s="107"/>
    </row>
    <row r="5" spans="1:11" x14ac:dyDescent="0.3">
      <c r="D5" s="7" t="s">
        <v>129</v>
      </c>
      <c r="E5" s="49">
        <f>1-E4</f>
        <v>0.24091200624783771</v>
      </c>
      <c r="G5" s="72">
        <v>43952</v>
      </c>
      <c r="H5" s="75">
        <v>384.55</v>
      </c>
      <c r="I5" s="74">
        <v>9580.2999999999993</v>
      </c>
      <c r="J5" s="12">
        <f>H5/H4-1</f>
        <v>-8.2876222275220623E-2</v>
      </c>
      <c r="K5" s="12">
        <f>I5/I4-1</f>
        <v>-2.8357285570847601E-2</v>
      </c>
    </row>
    <row r="6" spans="1:11" x14ac:dyDescent="0.3">
      <c r="D6"/>
      <c r="E6"/>
      <c r="G6" s="72">
        <v>43983</v>
      </c>
      <c r="H6" s="75">
        <v>380.3</v>
      </c>
      <c r="I6" s="74">
        <v>10302.1</v>
      </c>
      <c r="J6" s="12">
        <f t="shared" ref="J6:J64" si="0">H6/H5-1</f>
        <v>-1.1051878819399286E-2</v>
      </c>
      <c r="K6" s="12">
        <f t="shared" ref="K6:K64" si="1">I6/I5-1</f>
        <v>7.5342108284709441E-2</v>
      </c>
    </row>
    <row r="7" spans="1:11" x14ac:dyDescent="0.3">
      <c r="A7"/>
      <c r="B7"/>
      <c r="C7"/>
      <c r="D7" s="7" t="s">
        <v>130</v>
      </c>
      <c r="E7" s="46">
        <v>5.8500000000000003E-2</v>
      </c>
      <c r="G7" s="72">
        <v>44013</v>
      </c>
      <c r="H7" s="75">
        <v>361.25</v>
      </c>
      <c r="I7" s="74">
        <v>11073.45</v>
      </c>
      <c r="J7" s="12">
        <f t="shared" si="0"/>
        <v>-5.00920326058375E-2</v>
      </c>
      <c r="K7" s="12">
        <f t="shared" si="1"/>
        <v>7.4873084128478595E-2</v>
      </c>
    </row>
    <row r="8" spans="1:11" x14ac:dyDescent="0.3">
      <c r="D8" s="7" t="s">
        <v>131</v>
      </c>
      <c r="E8" s="48">
        <f>SLOPE(J5:J64,K5:K64)</f>
        <v>0.86254277587626749</v>
      </c>
      <c r="G8" s="72">
        <v>44044</v>
      </c>
      <c r="H8" s="75">
        <v>363.7</v>
      </c>
      <c r="I8" s="74">
        <v>11387.5</v>
      </c>
      <c r="J8" s="12">
        <f t="shared" si="0"/>
        <v>6.7820069204151956E-3</v>
      </c>
      <c r="K8" s="12">
        <f t="shared" si="1"/>
        <v>2.8360628349791472E-2</v>
      </c>
    </row>
    <row r="9" spans="1:11" x14ac:dyDescent="0.3">
      <c r="D9" s="7" t="s">
        <v>132</v>
      </c>
      <c r="E9" s="46">
        <v>0.05</v>
      </c>
      <c r="G9" s="72">
        <v>44075</v>
      </c>
      <c r="H9" s="75">
        <v>366.35</v>
      </c>
      <c r="I9" s="74">
        <v>11247.55</v>
      </c>
      <c r="J9" s="12">
        <f t="shared" si="0"/>
        <v>7.2862249106406818E-3</v>
      </c>
      <c r="K9" s="12">
        <f t="shared" si="1"/>
        <v>-1.2289791437980258E-2</v>
      </c>
    </row>
    <row r="10" spans="1:11" x14ac:dyDescent="0.3">
      <c r="D10" s="7" t="s">
        <v>133</v>
      </c>
      <c r="E10" s="49">
        <f>E7+E8*E9</f>
        <v>0.10162713879381338</v>
      </c>
      <c r="G10" s="72">
        <v>44105</v>
      </c>
      <c r="H10" s="75">
        <v>370.2</v>
      </c>
      <c r="I10" s="74">
        <v>11642.4</v>
      </c>
      <c r="J10" s="12">
        <f t="shared" si="0"/>
        <v>1.0509076020199126E-2</v>
      </c>
      <c r="K10" s="12">
        <f t="shared" si="1"/>
        <v>3.5105422958777721E-2</v>
      </c>
    </row>
    <row r="11" spans="1:11" x14ac:dyDescent="0.3">
      <c r="D11" s="7" t="s">
        <v>134</v>
      </c>
      <c r="E11" s="46">
        <v>0.08</v>
      </c>
      <c r="G11" s="72">
        <v>44136</v>
      </c>
      <c r="H11" s="75">
        <v>446.65</v>
      </c>
      <c r="I11" s="74">
        <v>12968.95</v>
      </c>
      <c r="J11" s="12">
        <f t="shared" si="0"/>
        <v>0.20650999459751485</v>
      </c>
      <c r="K11" s="12">
        <f t="shared" si="1"/>
        <v>0.11394128358414091</v>
      </c>
    </row>
    <row r="12" spans="1:11" x14ac:dyDescent="0.3">
      <c r="D12" s="7" t="s">
        <v>135</v>
      </c>
      <c r="E12" s="47">
        <f>'P&amp;L Assumptions'!I37</f>
        <v>0.25</v>
      </c>
      <c r="G12" s="72">
        <v>44166</v>
      </c>
      <c r="H12" s="75">
        <v>429.45</v>
      </c>
      <c r="I12" s="74">
        <v>13981.75</v>
      </c>
      <c r="J12" s="12">
        <f t="shared" si="0"/>
        <v>-3.850889958580539E-2</v>
      </c>
      <c r="K12" s="12">
        <f t="shared" si="1"/>
        <v>7.8094217342190353E-2</v>
      </c>
    </row>
    <row r="13" spans="1:11" x14ac:dyDescent="0.3">
      <c r="D13" s="7" t="s">
        <v>136</v>
      </c>
      <c r="E13" s="50">
        <f>E11*(1-E12)</f>
        <v>0.06</v>
      </c>
      <c r="G13" s="72">
        <v>44197</v>
      </c>
      <c r="H13" s="75">
        <v>401.55</v>
      </c>
      <c r="I13" s="74">
        <v>13634.6</v>
      </c>
      <c r="J13" s="12">
        <f t="shared" si="0"/>
        <v>-6.4966818023052708E-2</v>
      </c>
      <c r="K13" s="12">
        <f t="shared" si="1"/>
        <v>-2.4828794678777633E-2</v>
      </c>
    </row>
    <row r="14" spans="1:11" x14ac:dyDescent="0.3">
      <c r="D14" s="7" t="s">
        <v>137</v>
      </c>
      <c r="E14" s="49">
        <f>E4*E10</f>
        <v>7.714394089776834E-2</v>
      </c>
      <c r="G14" s="72">
        <v>44228</v>
      </c>
      <c r="H14" s="75">
        <v>428.95</v>
      </c>
      <c r="I14" s="74">
        <v>14529.15</v>
      </c>
      <c r="J14" s="12">
        <f t="shared" si="0"/>
        <v>6.823558709998756E-2</v>
      </c>
      <c r="K14" s="12">
        <f t="shared" si="1"/>
        <v>6.5608818740557018E-2</v>
      </c>
    </row>
    <row r="15" spans="1:11" x14ac:dyDescent="0.3">
      <c r="D15" s="7" t="s">
        <v>138</v>
      </c>
      <c r="E15" s="50">
        <f>E5*E13</f>
        <v>1.4454720374870262E-2</v>
      </c>
      <c r="G15" s="72">
        <v>44256</v>
      </c>
      <c r="H15" s="75">
        <v>390.15</v>
      </c>
      <c r="I15" s="74">
        <v>14690.7</v>
      </c>
      <c r="J15" s="12">
        <f t="shared" si="0"/>
        <v>-9.0453432801025802E-2</v>
      </c>
      <c r="K15" s="12">
        <f t="shared" si="1"/>
        <v>1.111902623346861E-2</v>
      </c>
    </row>
    <row r="16" spans="1:11" x14ac:dyDescent="0.3">
      <c r="D16" s="7" t="s">
        <v>139</v>
      </c>
      <c r="E16" s="49">
        <f>E14+E15</f>
        <v>9.1598661272638604E-2</v>
      </c>
      <c r="G16" s="72">
        <v>44287</v>
      </c>
      <c r="H16" s="75">
        <v>361.45</v>
      </c>
      <c r="I16" s="74">
        <v>14631.1</v>
      </c>
      <c r="J16" s="12">
        <f t="shared" si="0"/>
        <v>-7.356145072408049E-2</v>
      </c>
      <c r="K16" s="12">
        <f t="shared" si="1"/>
        <v>-4.0569884348601315E-3</v>
      </c>
    </row>
    <row r="17" spans="4:11" x14ac:dyDescent="0.3">
      <c r="G17" s="72">
        <v>44317</v>
      </c>
      <c r="H17" s="75">
        <v>449.1</v>
      </c>
      <c r="I17" s="74">
        <v>15582.8</v>
      </c>
      <c r="J17" s="12">
        <f t="shared" si="0"/>
        <v>0.24249550421911747</v>
      </c>
      <c r="K17" s="12">
        <f t="shared" si="1"/>
        <v>6.5046373820150105E-2</v>
      </c>
    </row>
    <row r="18" spans="4:11" x14ac:dyDescent="0.3">
      <c r="G18" s="72">
        <v>44348</v>
      </c>
      <c r="H18" s="75">
        <v>430</v>
      </c>
      <c r="I18" s="74">
        <v>15721.5</v>
      </c>
      <c r="J18" s="12">
        <f t="shared" si="0"/>
        <v>-4.2529503451347206E-2</v>
      </c>
      <c r="K18" s="12">
        <f t="shared" si="1"/>
        <v>8.9008393870164682E-3</v>
      </c>
    </row>
    <row r="19" spans="4:11" x14ac:dyDescent="0.3">
      <c r="D19" s="7" t="s">
        <v>143</v>
      </c>
      <c r="E19" s="66">
        <v>144.30000000000001</v>
      </c>
      <c r="G19" s="72">
        <v>44378</v>
      </c>
      <c r="H19" s="75">
        <v>480.75</v>
      </c>
      <c r="I19" s="74">
        <v>15763.05</v>
      </c>
      <c r="J19" s="12">
        <f t="shared" si="0"/>
        <v>0.11802325581395356</v>
      </c>
      <c r="K19" s="12">
        <f t="shared" si="1"/>
        <v>2.6428775880162902E-3</v>
      </c>
    </row>
    <row r="20" spans="4:11" x14ac:dyDescent="0.3">
      <c r="D20" s="7" t="s">
        <v>144</v>
      </c>
      <c r="E20" s="92">
        <v>338</v>
      </c>
      <c r="G20" s="72">
        <v>44409</v>
      </c>
      <c r="H20" s="75">
        <v>478.6</v>
      </c>
      <c r="I20" s="74">
        <v>17132.2</v>
      </c>
      <c r="J20" s="12">
        <f t="shared" si="0"/>
        <v>-4.4721788871554535E-3</v>
      </c>
      <c r="K20" s="12">
        <f t="shared" si="1"/>
        <v>8.6858190515160638E-2</v>
      </c>
    </row>
    <row r="21" spans="4:11" x14ac:dyDescent="0.3">
      <c r="D21" s="7" t="s">
        <v>145</v>
      </c>
      <c r="E21" s="92">
        <f>E19*E20</f>
        <v>48773.4</v>
      </c>
      <c r="G21" s="72">
        <v>44440</v>
      </c>
      <c r="H21" s="75">
        <v>495.2</v>
      </c>
      <c r="I21" s="74">
        <v>17618.150000000001</v>
      </c>
      <c r="J21" s="12">
        <f t="shared" si="0"/>
        <v>3.4684496447973112E-2</v>
      </c>
      <c r="K21" s="12">
        <f t="shared" si="1"/>
        <v>2.8364716732235173E-2</v>
      </c>
    </row>
    <row r="22" spans="4:11" x14ac:dyDescent="0.3">
      <c r="D22" s="7" t="s">
        <v>71</v>
      </c>
      <c r="E22" s="92">
        <f>Balancesheet!J34+Balancesheet!J29</f>
        <v>15479.23</v>
      </c>
      <c r="G22" s="72">
        <v>44470</v>
      </c>
      <c r="H22" s="75">
        <v>465.7</v>
      </c>
      <c r="I22" s="74">
        <v>17671.650000000001</v>
      </c>
      <c r="J22" s="12">
        <f t="shared" si="0"/>
        <v>-5.9571890145395767E-2</v>
      </c>
      <c r="K22" s="12">
        <f t="shared" si="1"/>
        <v>3.0366411910445201E-3</v>
      </c>
    </row>
    <row r="23" spans="4:11" x14ac:dyDescent="0.3">
      <c r="G23" s="72">
        <v>44501</v>
      </c>
      <c r="H23" s="75">
        <v>480.9</v>
      </c>
      <c r="I23" s="74">
        <v>16983.2</v>
      </c>
      <c r="J23" s="12">
        <f t="shared" si="0"/>
        <v>3.2639038007300725E-2</v>
      </c>
      <c r="K23" s="12">
        <f t="shared" si="1"/>
        <v>-3.8957878862471818E-2</v>
      </c>
    </row>
    <row r="24" spans="4:11" x14ac:dyDescent="0.3">
      <c r="E24" s="52"/>
      <c r="G24" s="72">
        <v>44531</v>
      </c>
      <c r="H24" s="75">
        <v>459.95</v>
      </c>
      <c r="I24" s="74">
        <v>17354.05</v>
      </c>
      <c r="J24" s="12">
        <f t="shared" si="0"/>
        <v>-4.3564150551050118E-2</v>
      </c>
      <c r="K24" s="12">
        <f t="shared" si="1"/>
        <v>2.1836285270149247E-2</v>
      </c>
    </row>
    <row r="25" spans="4:11" x14ac:dyDescent="0.3">
      <c r="G25" s="72">
        <v>44562</v>
      </c>
      <c r="H25" s="75">
        <v>502.8</v>
      </c>
      <c r="I25" s="74">
        <v>17339.849999999999</v>
      </c>
      <c r="J25" s="12">
        <f t="shared" si="0"/>
        <v>9.3162300250027252E-2</v>
      </c>
      <c r="K25" s="12">
        <f t="shared" si="1"/>
        <v>-8.1825279977876253E-4</v>
      </c>
    </row>
    <row r="26" spans="4:11" x14ac:dyDescent="0.3">
      <c r="G26" s="72">
        <v>44593</v>
      </c>
      <c r="H26" s="75">
        <v>454.9</v>
      </c>
      <c r="I26" s="74">
        <v>16793.900000000001</v>
      </c>
      <c r="J26" s="12">
        <f t="shared" si="0"/>
        <v>-9.5266507557677071E-2</v>
      </c>
      <c r="K26" s="12">
        <f t="shared" si="1"/>
        <v>-3.1485278131010208E-2</v>
      </c>
    </row>
    <row r="27" spans="4:11" x14ac:dyDescent="0.3">
      <c r="G27" s="72">
        <v>44621</v>
      </c>
      <c r="H27" s="75">
        <v>485.05</v>
      </c>
      <c r="I27" s="74">
        <v>17464.75</v>
      </c>
      <c r="J27" s="12">
        <f t="shared" si="0"/>
        <v>6.6278302923719501E-2</v>
      </c>
      <c r="K27" s="12">
        <f t="shared" si="1"/>
        <v>3.9946051840251462E-2</v>
      </c>
    </row>
    <row r="28" spans="4:11" x14ac:dyDescent="0.3">
      <c r="G28" s="72">
        <v>44652</v>
      </c>
      <c r="H28" s="75">
        <v>506.95</v>
      </c>
      <c r="I28" s="74">
        <v>17102.55</v>
      </c>
      <c r="J28" s="12">
        <f t="shared" si="0"/>
        <v>4.514998453767638E-2</v>
      </c>
      <c r="K28" s="12">
        <f t="shared" si="1"/>
        <v>-2.0738916961307807E-2</v>
      </c>
    </row>
    <row r="29" spans="4:11" x14ac:dyDescent="0.3">
      <c r="G29" s="72">
        <v>44682</v>
      </c>
      <c r="H29" s="75">
        <v>469.45</v>
      </c>
      <c r="I29" s="74">
        <v>16584.55</v>
      </c>
      <c r="J29" s="12">
        <f t="shared" si="0"/>
        <v>-7.3971792089949751E-2</v>
      </c>
      <c r="K29" s="12">
        <f t="shared" si="1"/>
        <v>-3.0287881046978327E-2</v>
      </c>
    </row>
    <row r="30" spans="4:11" x14ac:dyDescent="0.3">
      <c r="G30" s="72">
        <v>44713</v>
      </c>
      <c r="H30" s="75">
        <v>453.9</v>
      </c>
      <c r="I30" s="74">
        <v>15780.25</v>
      </c>
      <c r="J30" s="12">
        <f t="shared" si="0"/>
        <v>-3.3123868356587538E-2</v>
      </c>
      <c r="K30" s="12">
        <f t="shared" si="1"/>
        <v>-4.8496944445281853E-2</v>
      </c>
    </row>
    <row r="31" spans="4:11" x14ac:dyDescent="0.3">
      <c r="G31" s="72">
        <v>44743</v>
      </c>
      <c r="H31" s="75">
        <v>447.05</v>
      </c>
      <c r="I31" s="74">
        <v>17158.25</v>
      </c>
      <c r="J31" s="12">
        <f t="shared" si="0"/>
        <v>-1.5091429830359049E-2</v>
      </c>
      <c r="K31" s="12">
        <f t="shared" si="1"/>
        <v>8.7324345305048956E-2</v>
      </c>
    </row>
    <row r="32" spans="4:11" x14ac:dyDescent="0.3">
      <c r="G32" s="72">
        <v>44774</v>
      </c>
      <c r="H32" s="75">
        <v>452.2</v>
      </c>
      <c r="I32" s="74">
        <v>17759.3</v>
      </c>
      <c r="J32" s="12">
        <f t="shared" si="0"/>
        <v>1.1519964209819822E-2</v>
      </c>
      <c r="K32" s="12">
        <f t="shared" si="1"/>
        <v>3.5029796162195925E-2</v>
      </c>
    </row>
    <row r="33" spans="5:11" x14ac:dyDescent="0.3">
      <c r="G33" s="72">
        <v>44805</v>
      </c>
      <c r="H33" s="75">
        <v>416.45</v>
      </c>
      <c r="I33" s="74">
        <v>17094.349999999999</v>
      </c>
      <c r="J33" s="12">
        <f t="shared" si="0"/>
        <v>-7.9057938965059749E-2</v>
      </c>
      <c r="K33" s="12">
        <f t="shared" si="1"/>
        <v>-3.7442354146841383E-2</v>
      </c>
    </row>
    <row r="34" spans="5:11" x14ac:dyDescent="0.3">
      <c r="G34" s="72">
        <v>44835</v>
      </c>
      <c r="H34" s="75">
        <v>418.55</v>
      </c>
      <c r="I34" s="74">
        <v>18012.2</v>
      </c>
      <c r="J34" s="12">
        <f t="shared" si="0"/>
        <v>5.0426221635251345E-3</v>
      </c>
      <c r="K34" s="12">
        <f t="shared" si="1"/>
        <v>5.3693179325332796E-2</v>
      </c>
    </row>
    <row r="35" spans="5:11" x14ac:dyDescent="0.3">
      <c r="G35" s="72">
        <v>44866</v>
      </c>
      <c r="H35" s="75">
        <v>397.45</v>
      </c>
      <c r="I35" s="74">
        <v>18758.349999999999</v>
      </c>
      <c r="J35" s="12">
        <f t="shared" si="0"/>
        <v>-5.0412137140126712E-2</v>
      </c>
      <c r="K35" s="12">
        <f t="shared" si="1"/>
        <v>4.1424701035964295E-2</v>
      </c>
    </row>
    <row r="36" spans="5:11" x14ac:dyDescent="0.3">
      <c r="G36" s="72">
        <v>44896</v>
      </c>
      <c r="H36" s="75">
        <v>392.8</v>
      </c>
      <c r="I36" s="74">
        <v>18105.3</v>
      </c>
      <c r="J36" s="12">
        <f t="shared" si="0"/>
        <v>-1.1699584853440581E-2</v>
      </c>
      <c r="K36" s="12">
        <f t="shared" si="1"/>
        <v>-3.4813829574562805E-2</v>
      </c>
    </row>
    <row r="37" spans="5:11" x14ac:dyDescent="0.3">
      <c r="G37" s="72">
        <v>44927</v>
      </c>
      <c r="H37" s="75">
        <v>373.85</v>
      </c>
      <c r="I37" s="74">
        <v>17662.150000000001</v>
      </c>
      <c r="J37" s="12">
        <f t="shared" si="0"/>
        <v>-4.8243380855397144E-2</v>
      </c>
      <c r="K37" s="12">
        <f t="shared" si="1"/>
        <v>-2.4476258333195111E-2</v>
      </c>
    </row>
    <row r="38" spans="5:11" x14ac:dyDescent="0.3">
      <c r="G38" s="72">
        <v>44958</v>
      </c>
      <c r="H38" s="75">
        <v>358.6</v>
      </c>
      <c r="I38" s="74">
        <v>17303.95</v>
      </c>
      <c r="J38" s="12">
        <f t="shared" si="0"/>
        <v>-4.0791761401631654E-2</v>
      </c>
      <c r="K38" s="12">
        <f t="shared" si="1"/>
        <v>-2.0280656658447582E-2</v>
      </c>
    </row>
    <row r="39" spans="5:11" x14ac:dyDescent="0.3">
      <c r="G39" s="72">
        <v>44986</v>
      </c>
      <c r="H39" s="75">
        <v>320.64999999999998</v>
      </c>
      <c r="I39" s="74">
        <v>17359.75</v>
      </c>
      <c r="J39" s="12">
        <f t="shared" si="0"/>
        <v>-0.10582822085889587</v>
      </c>
      <c r="K39" s="12">
        <f t="shared" si="1"/>
        <v>3.2246972512055549E-3</v>
      </c>
    </row>
    <row r="40" spans="5:11" x14ac:dyDescent="0.3">
      <c r="G40" s="72">
        <v>45017</v>
      </c>
      <c r="H40" s="75">
        <v>384.65</v>
      </c>
      <c r="I40" s="74">
        <v>18065</v>
      </c>
      <c r="J40" s="12">
        <f t="shared" si="0"/>
        <v>0.1995945735225324</v>
      </c>
      <c r="K40" s="12">
        <f t="shared" si="1"/>
        <v>4.0625585045867663E-2</v>
      </c>
    </row>
    <row r="41" spans="5:11" x14ac:dyDescent="0.3">
      <c r="G41" s="72">
        <v>45047</v>
      </c>
      <c r="H41" s="75">
        <v>397.25</v>
      </c>
      <c r="I41" s="74">
        <v>18534.400000000001</v>
      </c>
      <c r="J41" s="12">
        <f t="shared" si="0"/>
        <v>3.2757051865332176E-2</v>
      </c>
      <c r="K41" s="12">
        <f t="shared" si="1"/>
        <v>2.5983946858566309E-2</v>
      </c>
    </row>
    <row r="42" spans="5:11" x14ac:dyDescent="0.3">
      <c r="G42" s="72">
        <v>45078</v>
      </c>
      <c r="H42" s="75">
        <v>421.75</v>
      </c>
      <c r="I42" s="74">
        <v>19189.05</v>
      </c>
      <c r="J42" s="12">
        <f t="shared" si="0"/>
        <v>6.1674008810572722E-2</v>
      </c>
      <c r="K42" s="12">
        <f t="shared" si="1"/>
        <v>3.5320808874309328E-2</v>
      </c>
    </row>
    <row r="43" spans="5:11" x14ac:dyDescent="0.3">
      <c r="G43" s="72">
        <v>45108</v>
      </c>
      <c r="H43" s="75">
        <v>436.35</v>
      </c>
      <c r="I43" s="74">
        <v>19753.8</v>
      </c>
      <c r="J43" s="12">
        <f t="shared" si="0"/>
        <v>3.4617664493183264E-2</v>
      </c>
      <c r="K43" s="12">
        <f t="shared" si="1"/>
        <v>2.9430847280089489E-2</v>
      </c>
    </row>
    <row r="44" spans="5:11" x14ac:dyDescent="0.3">
      <c r="G44" s="72">
        <v>45139</v>
      </c>
      <c r="H44" s="75">
        <v>474.15</v>
      </c>
      <c r="I44" s="74">
        <v>19253.8</v>
      </c>
      <c r="J44" s="12">
        <f t="shared" si="0"/>
        <v>8.6627707115847219E-2</v>
      </c>
      <c r="K44" s="12">
        <f t="shared" si="1"/>
        <v>-2.5311585618969512E-2</v>
      </c>
    </row>
    <row r="45" spans="5:11" x14ac:dyDescent="0.3">
      <c r="G45" s="72">
        <v>45170</v>
      </c>
      <c r="H45" s="75">
        <v>430.3</v>
      </c>
      <c r="I45" s="74">
        <v>19638.3</v>
      </c>
      <c r="J45" s="12">
        <f t="shared" si="0"/>
        <v>-9.2481282294632483E-2</v>
      </c>
      <c r="K45" s="12">
        <f t="shared" si="1"/>
        <v>1.9970083827608009E-2</v>
      </c>
    </row>
    <row r="46" spans="5:11" x14ac:dyDescent="0.3">
      <c r="G46" s="72">
        <v>45200</v>
      </c>
      <c r="H46" s="75">
        <v>412.25</v>
      </c>
      <c r="I46" s="74">
        <v>19079.599999999999</v>
      </c>
      <c r="J46" s="12">
        <f t="shared" si="0"/>
        <v>-4.1947478503369773E-2</v>
      </c>
      <c r="K46" s="12">
        <f t="shared" si="1"/>
        <v>-2.844950937708457E-2</v>
      </c>
    </row>
    <row r="47" spans="5:11" x14ac:dyDescent="0.3">
      <c r="E47"/>
      <c r="G47" s="72">
        <v>45231</v>
      </c>
      <c r="H47" s="75">
        <v>486.4</v>
      </c>
      <c r="I47" s="74">
        <v>20133.150000000001</v>
      </c>
      <c r="J47" s="12">
        <f t="shared" si="0"/>
        <v>0.17986658580958159</v>
      </c>
      <c r="K47" s="12">
        <f t="shared" si="1"/>
        <v>5.5218662865049728E-2</v>
      </c>
    </row>
    <row r="48" spans="5:11" x14ac:dyDescent="0.3">
      <c r="E48"/>
      <c r="G48" s="72">
        <v>45261</v>
      </c>
      <c r="H48" s="75">
        <v>454.3</v>
      </c>
      <c r="I48" s="74">
        <v>21731.4</v>
      </c>
      <c r="J48" s="12">
        <f t="shared" si="0"/>
        <v>-6.5995065789473673E-2</v>
      </c>
      <c r="K48" s="12">
        <f t="shared" si="1"/>
        <v>7.9384001013254268E-2</v>
      </c>
    </row>
    <row r="49" spans="5:11" x14ac:dyDescent="0.3">
      <c r="E49"/>
      <c r="G49" s="72">
        <v>45292</v>
      </c>
      <c r="H49" s="75">
        <v>487.4</v>
      </c>
      <c r="I49" s="74">
        <v>21725.7</v>
      </c>
      <c r="J49" s="12">
        <f t="shared" si="0"/>
        <v>7.2859344045784757E-2</v>
      </c>
      <c r="K49" s="12">
        <f t="shared" si="1"/>
        <v>-2.6229327148741266E-4</v>
      </c>
    </row>
    <row r="50" spans="5:11" x14ac:dyDescent="0.3">
      <c r="E50"/>
      <c r="G50" s="72">
        <v>45323</v>
      </c>
      <c r="H50" s="75">
        <v>437.8</v>
      </c>
      <c r="I50" s="74">
        <v>21982.799999999999</v>
      </c>
      <c r="J50" s="12">
        <f t="shared" si="0"/>
        <v>-0.10176446450553955</v>
      </c>
      <c r="K50" s="12">
        <f t="shared" si="1"/>
        <v>1.1833910990209695E-2</v>
      </c>
    </row>
    <row r="51" spans="5:11" x14ac:dyDescent="0.3">
      <c r="E51"/>
      <c r="G51" s="72">
        <v>45352</v>
      </c>
      <c r="H51" s="75">
        <v>409.25</v>
      </c>
      <c r="I51" s="74">
        <v>22326.9</v>
      </c>
      <c r="J51" s="12">
        <f t="shared" si="0"/>
        <v>-6.5212425765189597E-2</v>
      </c>
      <c r="K51" s="12">
        <f t="shared" si="1"/>
        <v>1.5653147005840973E-2</v>
      </c>
    </row>
    <row r="52" spans="5:11" x14ac:dyDescent="0.3">
      <c r="E52"/>
      <c r="G52" s="72">
        <v>45383</v>
      </c>
      <c r="H52" s="75">
        <v>467.35</v>
      </c>
      <c r="I52" s="74">
        <v>22604.85</v>
      </c>
      <c r="J52" s="12">
        <f t="shared" si="0"/>
        <v>0.14196701282834456</v>
      </c>
      <c r="K52" s="12">
        <f t="shared" si="1"/>
        <v>1.2449108474530624E-2</v>
      </c>
    </row>
    <row r="53" spans="5:11" x14ac:dyDescent="0.3">
      <c r="E53"/>
      <c r="G53" s="72">
        <v>45413</v>
      </c>
      <c r="H53" s="75">
        <v>404.55</v>
      </c>
      <c r="I53" s="74">
        <v>22530.7</v>
      </c>
      <c r="J53" s="12">
        <f t="shared" si="0"/>
        <v>-0.13437466566812883</v>
      </c>
      <c r="K53" s="12">
        <f t="shared" si="1"/>
        <v>-3.2802694996869608E-3</v>
      </c>
    </row>
    <row r="54" spans="5:11" x14ac:dyDescent="0.3">
      <c r="E54"/>
      <c r="G54" s="72">
        <v>45444</v>
      </c>
      <c r="H54" s="75">
        <v>450.9</v>
      </c>
      <c r="I54" s="74">
        <v>24010.6</v>
      </c>
      <c r="J54" s="12">
        <f t="shared" si="0"/>
        <v>0.11457174638487189</v>
      </c>
      <c r="K54" s="12">
        <f t="shared" si="1"/>
        <v>6.5683711558007341E-2</v>
      </c>
    </row>
    <row r="55" spans="5:11" x14ac:dyDescent="0.3">
      <c r="E55"/>
      <c r="G55" s="72">
        <v>45474</v>
      </c>
      <c r="H55" s="75">
        <v>426.7</v>
      </c>
      <c r="I55" s="74">
        <v>24951.15</v>
      </c>
      <c r="J55" s="12">
        <f t="shared" si="0"/>
        <v>-5.3670436903969776E-2</v>
      </c>
      <c r="K55" s="12">
        <f t="shared" si="1"/>
        <v>3.917228224200997E-2</v>
      </c>
    </row>
    <row r="56" spans="5:11" x14ac:dyDescent="0.3">
      <c r="E56"/>
      <c r="G56" s="72">
        <v>45505</v>
      </c>
      <c r="H56" s="75">
        <v>404.95</v>
      </c>
      <c r="I56" s="74">
        <v>25235.9</v>
      </c>
      <c r="J56" s="12">
        <f t="shared" si="0"/>
        <v>-5.0972580267166667E-2</v>
      </c>
      <c r="K56" s="12">
        <f t="shared" si="1"/>
        <v>1.141229963348378E-2</v>
      </c>
    </row>
    <row r="57" spans="5:11" x14ac:dyDescent="0.3">
      <c r="E57"/>
      <c r="G57" s="72">
        <v>45536</v>
      </c>
      <c r="H57" s="75">
        <v>417.6</v>
      </c>
      <c r="I57" s="74">
        <v>25810.85</v>
      </c>
      <c r="J57" s="12">
        <f t="shared" si="0"/>
        <v>3.1238424496851547E-2</v>
      </c>
      <c r="K57" s="12">
        <f t="shared" si="1"/>
        <v>2.2783019428670892E-2</v>
      </c>
    </row>
    <row r="58" spans="5:11" x14ac:dyDescent="0.3">
      <c r="E58"/>
      <c r="G58" s="72">
        <v>45566</v>
      </c>
      <c r="H58" s="75">
        <v>402</v>
      </c>
      <c r="I58" s="74">
        <v>24205.35</v>
      </c>
      <c r="J58" s="12">
        <f t="shared" si="0"/>
        <v>-3.7356321839080553E-2</v>
      </c>
      <c r="K58" s="12">
        <f t="shared" si="1"/>
        <v>-6.2202523357425266E-2</v>
      </c>
    </row>
    <row r="59" spans="5:11" x14ac:dyDescent="0.3">
      <c r="E59"/>
      <c r="G59" s="72">
        <v>45597</v>
      </c>
      <c r="H59" s="75">
        <v>380.35</v>
      </c>
      <c r="I59" s="74">
        <v>24131.1</v>
      </c>
      <c r="J59" s="12">
        <f t="shared" si="0"/>
        <v>-5.3855721393034739E-2</v>
      </c>
      <c r="K59" s="12">
        <f t="shared" si="1"/>
        <v>-3.0675036717089377E-3</v>
      </c>
    </row>
    <row r="60" spans="5:11" x14ac:dyDescent="0.3">
      <c r="E60"/>
      <c r="G60" s="72">
        <v>45627</v>
      </c>
      <c r="H60" s="75">
        <v>360.9</v>
      </c>
      <c r="I60" s="74">
        <v>23644.799999999999</v>
      </c>
      <c r="J60" s="12">
        <f t="shared" si="0"/>
        <v>-5.1137110556066845E-2</v>
      </c>
      <c r="K60" s="12">
        <f t="shared" si="1"/>
        <v>-2.0152417419844082E-2</v>
      </c>
    </row>
    <row r="61" spans="5:11" x14ac:dyDescent="0.3">
      <c r="E61"/>
      <c r="G61" s="72">
        <v>45658</v>
      </c>
      <c r="H61" s="75">
        <v>335.15</v>
      </c>
      <c r="I61" s="74">
        <v>23508.400000000001</v>
      </c>
      <c r="J61" s="12">
        <f t="shared" si="0"/>
        <v>-7.1349404267110006E-2</v>
      </c>
      <c r="K61" s="12">
        <f t="shared" si="1"/>
        <v>-5.7687102449586192E-3</v>
      </c>
    </row>
    <row r="62" spans="5:11" x14ac:dyDescent="0.3">
      <c r="E62"/>
      <c r="G62" s="72">
        <v>45689</v>
      </c>
      <c r="H62" s="75">
        <v>304.95</v>
      </c>
      <c r="I62" s="74">
        <v>22124.7</v>
      </c>
      <c r="J62" s="12">
        <f t="shared" si="0"/>
        <v>-9.010890645979408E-2</v>
      </c>
      <c r="K62" s="12">
        <f t="shared" si="1"/>
        <v>-5.8859811811948104E-2</v>
      </c>
    </row>
    <row r="63" spans="5:11" x14ac:dyDescent="0.3">
      <c r="E63"/>
      <c r="G63" s="72">
        <v>45717</v>
      </c>
      <c r="H63" s="75">
        <v>324.89999999999998</v>
      </c>
      <c r="I63" s="74">
        <v>23519.35</v>
      </c>
      <c r="J63" s="12">
        <f t="shared" si="0"/>
        <v>6.5420560747663448E-2</v>
      </c>
      <c r="K63" s="12">
        <f t="shared" si="1"/>
        <v>6.3035882972424462E-2</v>
      </c>
    </row>
    <row r="64" spans="5:11" x14ac:dyDescent="0.3">
      <c r="G64" s="72">
        <v>45748</v>
      </c>
      <c r="H64" s="75">
        <v>340.75</v>
      </c>
      <c r="I64" s="74">
        <v>24335.95</v>
      </c>
      <c r="J64" s="12">
        <f t="shared" si="0"/>
        <v>4.8784241305017018E-2</v>
      </c>
      <c r="K64" s="12">
        <f t="shared" si="1"/>
        <v>3.4720347288509368E-2</v>
      </c>
    </row>
  </sheetData>
  <mergeCells count="3">
    <mergeCell ref="D3:E3"/>
    <mergeCell ref="J3:J4"/>
    <mergeCell ref="K3:K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D7D7-BEF4-4B15-89E8-26DCB9BBB4C0}">
  <dimension ref="B2:O32"/>
  <sheetViews>
    <sheetView showGridLines="0" topLeftCell="A13" workbookViewId="0">
      <selection activeCell="K33" sqref="K33"/>
    </sheetView>
  </sheetViews>
  <sheetFormatPr defaultRowHeight="14.4" x14ac:dyDescent="0.3"/>
  <cols>
    <col min="2" max="2" width="15" bestFit="1" customWidth="1"/>
    <col min="3" max="3" width="4.44140625" bestFit="1" customWidth="1"/>
    <col min="4" max="4" width="23.21875" bestFit="1" customWidth="1"/>
    <col min="5" max="5" width="12.21875" bestFit="1" customWidth="1"/>
    <col min="6" max="6" width="9.44140625" bestFit="1" customWidth="1"/>
    <col min="7" max="7" width="10.21875" bestFit="1" customWidth="1"/>
    <col min="8" max="8" width="8.6640625" bestFit="1" customWidth="1"/>
    <col min="9" max="9" width="11.6640625" bestFit="1" customWidth="1"/>
    <col min="10" max="14" width="10.5546875" bestFit="1" customWidth="1"/>
  </cols>
  <sheetData>
    <row r="2" spans="2:15" x14ac:dyDescent="0.3">
      <c r="B2" s="2" t="s">
        <v>146</v>
      </c>
      <c r="C2" s="16">
        <f>WACC!E16</f>
        <v>9.1598661272638604E-2</v>
      </c>
    </row>
    <row r="3" spans="2:15" x14ac:dyDescent="0.3">
      <c r="B3" s="2" t="s">
        <v>147</v>
      </c>
      <c r="C3" s="16">
        <v>6.5000000000000002E-2</v>
      </c>
    </row>
    <row r="4" spans="2:15" x14ac:dyDescent="0.3">
      <c r="D4" s="7"/>
      <c r="E4" s="108"/>
      <c r="F4" s="108"/>
      <c r="G4" s="108"/>
      <c r="H4" s="108"/>
      <c r="I4" s="108"/>
      <c r="J4" s="109" t="s">
        <v>95</v>
      </c>
      <c r="K4" s="109"/>
      <c r="L4" s="109"/>
      <c r="M4" s="109"/>
      <c r="N4" s="109"/>
    </row>
    <row r="5" spans="2:15" x14ac:dyDescent="0.3">
      <c r="D5" s="7" t="s">
        <v>2</v>
      </c>
      <c r="E5" s="32" t="s">
        <v>81</v>
      </c>
      <c r="F5" s="32" t="s">
        <v>172</v>
      </c>
      <c r="G5" s="32" t="s">
        <v>173</v>
      </c>
      <c r="H5" s="32" t="s">
        <v>174</v>
      </c>
      <c r="I5" s="32" t="s">
        <v>175</v>
      </c>
      <c r="J5" s="38" t="s">
        <v>176</v>
      </c>
      <c r="K5" s="38" t="s">
        <v>177</v>
      </c>
      <c r="L5" s="38" t="s">
        <v>178</v>
      </c>
      <c r="M5" s="38" t="s">
        <v>179</v>
      </c>
      <c r="N5" s="38" t="s">
        <v>180</v>
      </c>
    </row>
    <row r="6" spans="2:15" x14ac:dyDescent="0.3">
      <c r="D6" s="2" t="s">
        <v>125</v>
      </c>
      <c r="E6" s="82">
        <f>'Cashflow Output'!D9</f>
        <v>-784.84197200000472</v>
      </c>
      <c r="F6" s="82">
        <f>'Cashflow Output'!E9</f>
        <v>2236.9172500000032</v>
      </c>
      <c r="G6" s="82">
        <f>'Cashflow Output'!F9</f>
        <v>709.54297199999564</v>
      </c>
      <c r="H6" s="82">
        <f>'Cashflow Output'!G9</f>
        <v>-425.45138199999701</v>
      </c>
      <c r="I6" s="82">
        <f>'Cashflow Output'!H9</f>
        <v>631.40937499998836</v>
      </c>
      <c r="J6" s="82">
        <f>'Cashflow Output'!I9</f>
        <v>1380.7396545436791</v>
      </c>
      <c r="K6" s="82">
        <f>'Cashflow Output'!J9</f>
        <v>1638.8603585452329</v>
      </c>
      <c r="L6" s="82">
        <f>'Cashflow Output'!K9</f>
        <v>1835.523601570655</v>
      </c>
      <c r="M6" s="82">
        <f>'Cashflow Output'!L9</f>
        <v>2055.7864337591654</v>
      </c>
      <c r="N6" s="82">
        <f>'Cashflow Output'!M9</f>
        <v>2302.480805810239</v>
      </c>
    </row>
    <row r="7" spans="2:15" x14ac:dyDescent="0.3">
      <c r="D7" s="2" t="s">
        <v>148</v>
      </c>
      <c r="E7" s="2"/>
      <c r="F7" s="2"/>
      <c r="G7" s="2"/>
      <c r="H7" s="2"/>
      <c r="I7" s="2"/>
      <c r="J7" s="53">
        <f>1/(1+$C$2)^1</f>
        <v>0.91608760204428197</v>
      </c>
      <c r="K7" s="53">
        <f>1/(1+$C$2)^2</f>
        <v>0.83921649461924275</v>
      </c>
      <c r="L7" s="53">
        <f>1/(1+$C$2)^3</f>
        <v>0.76879582615175013</v>
      </c>
      <c r="M7" s="53">
        <f>1/(1+$C$2)^4</f>
        <v>0.70428432484100956</v>
      </c>
      <c r="N7" s="53">
        <f>1/(1+$C$2)^5</f>
        <v>0.6451861383009766</v>
      </c>
    </row>
    <row r="8" spans="2:15" x14ac:dyDescent="0.3">
      <c r="D8" s="2" t="s">
        <v>186</v>
      </c>
      <c r="E8" s="2"/>
      <c r="F8" s="2"/>
      <c r="G8" s="2"/>
      <c r="H8" s="2"/>
      <c r="I8" s="2"/>
      <c r="J8" s="82">
        <f>J6*J7</f>
        <v>1264.8784791783692</v>
      </c>
      <c r="K8" s="82">
        <f t="shared" ref="K8:N8" si="0">K6*K7</f>
        <v>1375.3586452687657</v>
      </c>
      <c r="L8" s="82">
        <f t="shared" si="0"/>
        <v>1411.1428836905475</v>
      </c>
      <c r="M8" s="82">
        <f t="shared" si="0"/>
        <v>1447.8581605173806</v>
      </c>
      <c r="N8" s="82">
        <f t="shared" si="0"/>
        <v>1485.5286996128289</v>
      </c>
    </row>
    <row r="10" spans="2:15" x14ac:dyDescent="0.3">
      <c r="D10" s="2" t="s">
        <v>149</v>
      </c>
      <c r="E10" s="82">
        <f>SUM(J8:N8)</f>
        <v>6984.7668682678923</v>
      </c>
      <c r="F10" s="45">
        <f>E10/E13</f>
        <v>0.10508978533944839</v>
      </c>
    </row>
    <row r="11" spans="2:15" x14ac:dyDescent="0.3">
      <c r="D11" s="2" t="s">
        <v>187</v>
      </c>
      <c r="E11" s="82">
        <f>N6*(1+C3)/(C2-C3)</f>
        <v>92190.431430109733</v>
      </c>
      <c r="I11" s="94">
        <f>E13</f>
        <v>66464.755310961365</v>
      </c>
      <c r="J11" s="45">
        <v>0</v>
      </c>
      <c r="K11" s="45">
        <v>0.01</v>
      </c>
      <c r="L11" s="45">
        <v>0.02</v>
      </c>
      <c r="M11" s="45">
        <v>0.03</v>
      </c>
      <c r="N11" s="45">
        <v>0.04</v>
      </c>
      <c r="O11" s="45"/>
    </row>
    <row r="12" spans="2:15" x14ac:dyDescent="0.3">
      <c r="D12" s="2" t="s">
        <v>188</v>
      </c>
      <c r="E12" s="82">
        <f>E11*N7</f>
        <v>59479.98844269348</v>
      </c>
      <c r="F12" s="45">
        <f>E12/E13</f>
        <v>0.89491021466055176</v>
      </c>
      <c r="I12" s="45">
        <v>0.08</v>
      </c>
      <c r="J12" s="93">
        <f t="dataTable" ref="J12:N16" dt2D="1" dtr="1" r1="C3" r2="C2"/>
        <v>26806.585060414705</v>
      </c>
      <c r="K12" s="93">
        <v>29828.713859988558</v>
      </c>
      <c r="L12" s="93">
        <v>33858.218926087036</v>
      </c>
      <c r="M12" s="93">
        <v>39499.5260186249</v>
      </c>
      <c r="N12" s="93">
        <v>47961.486657431691</v>
      </c>
    </row>
    <row r="13" spans="2:15" x14ac:dyDescent="0.3">
      <c r="D13" s="2" t="s">
        <v>150</v>
      </c>
      <c r="E13" s="82">
        <f>E10+E12</f>
        <v>66464.755310961365</v>
      </c>
      <c r="I13" s="45">
        <v>0.09</v>
      </c>
      <c r="J13" s="93">
        <v>23643.588775643668</v>
      </c>
      <c r="K13" s="93">
        <v>25909.054679573783</v>
      </c>
      <c r="L13" s="93">
        <v>28821.796556055364</v>
      </c>
      <c r="M13" s="93">
        <v>32705.452391364124</v>
      </c>
      <c r="N13" s="93">
        <v>38142.570560796397</v>
      </c>
    </row>
    <row r="14" spans="2:15" x14ac:dyDescent="0.3">
      <c r="E14" s="93"/>
      <c r="I14" s="45">
        <v>0.1</v>
      </c>
      <c r="J14" s="93">
        <v>21119.087471912189</v>
      </c>
      <c r="K14" s="93">
        <v>22866.448995343522</v>
      </c>
      <c r="L14" s="93">
        <v>25050.650899632696</v>
      </c>
      <c r="M14" s="93">
        <v>27858.910490861628</v>
      </c>
      <c r="N14" s="93">
        <v>31603.256612500205</v>
      </c>
    </row>
    <row r="15" spans="2:15" x14ac:dyDescent="0.3">
      <c r="D15" s="2" t="s">
        <v>71</v>
      </c>
      <c r="E15" s="82">
        <f>WACC!E22</f>
        <v>15479.23</v>
      </c>
      <c r="I15" s="45">
        <v>0.11</v>
      </c>
      <c r="J15" s="93">
        <v>19058.696706257113</v>
      </c>
      <c r="K15" s="93">
        <v>20437.528910040332</v>
      </c>
      <c r="L15" s="93">
        <v>22122.768270219825</v>
      </c>
      <c r="M15" s="93">
        <v>24229.317470444192</v>
      </c>
      <c r="N15" s="93">
        <v>26937.737870732657</v>
      </c>
    </row>
    <row r="16" spans="2:15" x14ac:dyDescent="0.3">
      <c r="D16" s="2" t="str">
        <f>Balancesheet!D7</f>
        <v xml:space="preserve">Goodwill </v>
      </c>
      <c r="E16" s="82">
        <f>Balancesheet!J7</f>
        <v>10678.81</v>
      </c>
      <c r="I16" s="45">
        <v>0.12</v>
      </c>
      <c r="J16" s="93">
        <v>17346.173072236514</v>
      </c>
      <c r="K16" s="93">
        <v>18454.709570170246</v>
      </c>
      <c r="L16" s="93">
        <v>19784.95336769073</v>
      </c>
      <c r="M16" s="93">
        <v>21410.806897993541</v>
      </c>
      <c r="N16" s="93">
        <v>23443.123810872057</v>
      </c>
    </row>
    <row r="17" spans="4:9" ht="28.8" x14ac:dyDescent="0.3">
      <c r="D17" s="95" t="str">
        <f>Balancesheet!D8</f>
        <v>Investments in associates and joint ventures</v>
      </c>
      <c r="E17" s="82">
        <f>Balancesheet!J8</f>
        <v>757.01</v>
      </c>
      <c r="I17" s="45"/>
    </row>
    <row r="18" spans="4:9" x14ac:dyDescent="0.3">
      <c r="D18" s="2" t="str">
        <f>Balancesheet!D10</f>
        <v>Security deposits</v>
      </c>
      <c r="E18" s="82">
        <f>Balancesheet!J10</f>
        <v>295.94</v>
      </c>
    </row>
    <row r="19" spans="4:9" x14ac:dyDescent="0.3">
      <c r="D19" s="2" t="str">
        <f>Balancesheet!D11</f>
        <v>Other Financial Assets</v>
      </c>
      <c r="E19" s="82">
        <f>Balancesheet!J11</f>
        <v>315.87</v>
      </c>
    </row>
    <row r="20" spans="4:9" x14ac:dyDescent="0.3">
      <c r="D20" s="2" t="str">
        <f>Balancesheet!D12</f>
        <v>Deferred Tax Assets</v>
      </c>
      <c r="E20" s="82">
        <f>Balancesheet!J12</f>
        <v>3269.46</v>
      </c>
    </row>
    <row r="21" spans="4:9" x14ac:dyDescent="0.3">
      <c r="D21" s="2" t="str">
        <f>Balancesheet!D13</f>
        <v>Income tax assets</v>
      </c>
      <c r="E21" s="82">
        <f>Balancesheet!J13</f>
        <v>2651.92</v>
      </c>
    </row>
    <row r="22" spans="4:9" x14ac:dyDescent="0.3">
      <c r="D22" s="2" t="str">
        <f>Balancesheet!D14</f>
        <v>Other non-current assets</v>
      </c>
      <c r="E22" s="82">
        <f>Balancesheet!J14</f>
        <v>43.15</v>
      </c>
    </row>
    <row r="23" spans="4:9" x14ac:dyDescent="0.3">
      <c r="D23" s="2" t="str">
        <f>Balancesheet!D17</f>
        <v>Investments</v>
      </c>
      <c r="E23" s="82">
        <f>Balancesheet!J17</f>
        <v>55.55</v>
      </c>
    </row>
    <row r="24" spans="4:9" x14ac:dyDescent="0.3">
      <c r="D24" s="2" t="str">
        <f>Balancesheet!D19</f>
        <v>Cash and Equivalents</v>
      </c>
      <c r="E24" s="82">
        <f>Balancesheet!J19</f>
        <v>6514.82</v>
      </c>
    </row>
    <row r="25" spans="4:9" x14ac:dyDescent="0.3">
      <c r="D25" s="2" t="str">
        <f>Balancesheet!D20</f>
        <v>Bank Balances</v>
      </c>
      <c r="E25" s="82">
        <f>Balancesheet!J20</f>
        <v>890.41</v>
      </c>
    </row>
    <row r="26" spans="4:9" x14ac:dyDescent="0.3">
      <c r="D26" s="2" t="str">
        <f>Balancesheet!D21</f>
        <v>Other Financial Assets</v>
      </c>
      <c r="E26" s="82">
        <f>Balancesheet!J21</f>
        <v>7530.04</v>
      </c>
    </row>
    <row r="28" spans="4:9" x14ac:dyDescent="0.3">
      <c r="D28" s="2" t="s">
        <v>151</v>
      </c>
      <c r="E28" s="82">
        <f>E13-E15+SUM(E16:E26)</f>
        <v>83988.505310961365</v>
      </c>
    </row>
    <row r="29" spans="4:9" x14ac:dyDescent="0.3">
      <c r="D29" s="2" t="s">
        <v>205</v>
      </c>
      <c r="E29" s="67">
        <f>WACC!E19</f>
        <v>144.30000000000001</v>
      </c>
    </row>
    <row r="30" spans="4:9" x14ac:dyDescent="0.3">
      <c r="D30" s="96" t="s">
        <v>206</v>
      </c>
      <c r="E30" s="97">
        <f>E28/E29</f>
        <v>582.04092384588603</v>
      </c>
    </row>
    <row r="32" spans="4:9" x14ac:dyDescent="0.3">
      <c r="D32" t="s">
        <v>202</v>
      </c>
      <c r="E32" s="93">
        <v>334</v>
      </c>
      <c r="F32" t="s">
        <v>203</v>
      </c>
    </row>
  </sheetData>
  <mergeCells count="2">
    <mergeCell ref="E4:I4"/>
    <mergeCell ref="J4:N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Input --&gt;</vt:lpstr>
      <vt:lpstr>Balancesheet</vt:lpstr>
      <vt:lpstr>P&amp;L</vt:lpstr>
      <vt:lpstr>Cashflow</vt:lpstr>
      <vt:lpstr>Assumptions --&gt;</vt:lpstr>
      <vt:lpstr>Balancesheet Assumptions</vt:lpstr>
      <vt:lpstr>P&amp;L Assumptions</vt:lpstr>
      <vt:lpstr>Forecast--&gt;</vt:lpstr>
      <vt:lpstr>Balancesheet Output</vt:lpstr>
      <vt:lpstr>Cashflow Output</vt:lpstr>
      <vt:lpstr>P&amp;L Output</vt:lpstr>
      <vt:lpstr>Trend Analysis --&gt;</vt:lpstr>
      <vt:lpstr>Balancesheet Trend</vt:lpstr>
      <vt:lpstr>P&amp;L Trend</vt:lpstr>
      <vt:lpstr>Ratio Analysis</vt:lpstr>
      <vt:lpstr>WACC</vt:lpstr>
      <vt:lpstr>DCF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RAGHAVENDRA</dc:creator>
  <cp:lastModifiedBy>Raghavendra Kasturi</cp:lastModifiedBy>
  <dcterms:created xsi:type="dcterms:W3CDTF">2015-06-05T18:17:20Z</dcterms:created>
  <dcterms:modified xsi:type="dcterms:W3CDTF">2025-05-11T03:49:21Z</dcterms:modified>
</cp:coreProperties>
</file>