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75" yWindow="195" windowWidth="14550" windowHeight="12120"/>
  </bookViews>
  <sheets>
    <sheet name="Reservatório_ANA_JU" sheetId="1" r:id="rId1"/>
    <sheet name="Plan1" sheetId="2" r:id="rId2"/>
  </sheets>
  <calcPr calcId="144525"/>
</workbook>
</file>

<file path=xl/calcChain.xml><?xml version="1.0" encoding="utf-8"?>
<calcChain xmlns="http://schemas.openxmlformats.org/spreadsheetml/2006/main">
  <c r="J444" i="1" l="1"/>
  <c r="J393" i="1"/>
  <c r="J380" i="1"/>
  <c r="J376" i="1"/>
  <c r="J365" i="1"/>
  <c r="J355" i="1"/>
  <c r="J347" i="1"/>
  <c r="J345" i="1"/>
  <c r="J330" i="1"/>
  <c r="J270" i="1"/>
  <c r="J235" i="1"/>
  <c r="J224" i="1"/>
  <c r="J211" i="1"/>
  <c r="J159" i="1"/>
  <c r="J153" i="1"/>
  <c r="J151" i="1"/>
  <c r="J134" i="1"/>
  <c r="J121" i="1"/>
  <c r="J86" i="1"/>
  <c r="J73" i="1"/>
  <c r="J57" i="1"/>
  <c r="J53" i="1"/>
  <c r="J6" i="1"/>
  <c r="I453" i="1" l="1"/>
  <c r="I448" i="1"/>
  <c r="I393" i="1"/>
  <c r="I391" i="1"/>
  <c r="I385" i="1"/>
  <c r="I383" i="1"/>
  <c r="I380" i="1"/>
  <c r="I379" i="1"/>
  <c r="I376" i="1"/>
  <c r="I357" i="1"/>
  <c r="I347" i="1"/>
  <c r="I330" i="1"/>
  <c r="I327" i="1"/>
  <c r="I284" i="1"/>
  <c r="I270" i="1"/>
  <c r="I251" i="1"/>
  <c r="I249" i="1"/>
  <c r="I236" i="1"/>
  <c r="I224" i="1"/>
  <c r="I222" i="1"/>
  <c r="I220" i="1"/>
  <c r="I216" i="1"/>
  <c r="I211" i="1"/>
  <c r="I193" i="1"/>
  <c r="I183" i="1"/>
  <c r="I177" i="1"/>
  <c r="I166" i="1"/>
  <c r="I161" i="1"/>
  <c r="I159" i="1"/>
  <c r="I153" i="1"/>
  <c r="I151" i="1"/>
  <c r="I134" i="1"/>
  <c r="I129" i="1"/>
  <c r="I119" i="1"/>
  <c r="I115" i="1"/>
  <c r="I105" i="1"/>
  <c r="I92" i="1"/>
  <c r="I86" i="1"/>
  <c r="I84" i="1"/>
  <c r="I66" i="1"/>
  <c r="I59" i="1"/>
  <c r="I57" i="1"/>
  <c r="I53" i="1"/>
  <c r="I47" i="1"/>
  <c r="I35" i="1"/>
  <c r="I15" i="1"/>
  <c r="I12" i="1"/>
  <c r="I6" i="1"/>
  <c r="H418" i="1" l="1"/>
  <c r="H347" i="1"/>
  <c r="H12" i="1"/>
  <c r="G347" i="1" l="1"/>
  <c r="G220" i="1"/>
  <c r="G12" i="1"/>
  <c r="F449" i="1" l="1"/>
  <c r="F448" i="1"/>
  <c r="F446" i="1"/>
  <c r="F444" i="1"/>
  <c r="F428" i="1"/>
  <c r="F422" i="1"/>
  <c r="F418" i="1"/>
  <c r="F417" i="1"/>
  <c r="F415" i="1"/>
  <c r="F411" i="1"/>
  <c r="F407" i="1"/>
  <c r="F404" i="1"/>
  <c r="F400" i="1"/>
  <c r="F399" i="1"/>
  <c r="F398" i="1"/>
  <c r="F395" i="1"/>
  <c r="F393" i="1"/>
  <c r="F391" i="1"/>
  <c r="F390" i="1"/>
  <c r="F389" i="1"/>
  <c r="F386" i="1"/>
  <c r="F384" i="1"/>
  <c r="F380" i="1"/>
  <c r="F379" i="1"/>
  <c r="F377" i="1"/>
  <c r="F372" i="1"/>
  <c r="F369" i="1"/>
  <c r="F366" i="1"/>
  <c r="F365" i="1"/>
  <c r="F357" i="1"/>
  <c r="F355" i="1"/>
  <c r="F347" i="1"/>
  <c r="F346" i="1"/>
  <c r="F345" i="1"/>
  <c r="F340" i="1"/>
  <c r="F331" i="1"/>
  <c r="F327" i="1"/>
  <c r="F322" i="1"/>
  <c r="F320" i="1"/>
  <c r="F318" i="1"/>
  <c r="F309" i="1"/>
  <c r="F308" i="1"/>
  <c r="F303" i="1"/>
  <c r="F301" i="1"/>
  <c r="F279" i="1"/>
  <c r="F272" i="1"/>
  <c r="F270" i="1"/>
  <c r="F267" i="1"/>
  <c r="F263" i="1"/>
  <c r="F258" i="1"/>
  <c r="F251" i="1"/>
  <c r="F247" i="1"/>
  <c r="F235" i="1"/>
  <c r="F228" i="1"/>
  <c r="F224" i="1"/>
  <c r="F223" i="1"/>
  <c r="F220" i="1"/>
  <c r="F216" i="1"/>
  <c r="F211" i="1"/>
  <c r="F208" i="1"/>
  <c r="F207" i="1"/>
  <c r="F204" i="1"/>
  <c r="F203" i="1"/>
  <c r="F186" i="1"/>
  <c r="F183" i="1"/>
  <c r="F179" i="1"/>
  <c r="F178" i="1"/>
  <c r="F177" i="1"/>
  <c r="F169" i="1"/>
  <c r="F166" i="1"/>
  <c r="F160" i="1"/>
  <c r="F159" i="1"/>
  <c r="F153" i="1"/>
  <c r="F151" i="1"/>
  <c r="F149" i="1"/>
  <c r="F148" i="1"/>
  <c r="F135" i="1"/>
  <c r="F134" i="1"/>
  <c r="F129" i="1"/>
  <c r="F126" i="1"/>
  <c r="F125" i="1"/>
  <c r="F121" i="1"/>
  <c r="F119" i="1"/>
  <c r="F115" i="1"/>
  <c r="F110" i="1"/>
  <c r="F107" i="1"/>
  <c r="F100" i="1"/>
  <c r="F97" i="1"/>
  <c r="F96" i="1"/>
  <c r="F92" i="1"/>
  <c r="F89" i="1"/>
  <c r="F84" i="1"/>
  <c r="F83" i="1"/>
  <c r="F78" i="1"/>
  <c r="F77" i="1"/>
  <c r="F76" i="1"/>
  <c r="F73" i="1"/>
  <c r="F67" i="1"/>
  <c r="F60" i="1"/>
  <c r="F59" i="1"/>
  <c r="F53" i="1"/>
  <c r="F48" i="1"/>
  <c r="F47" i="1"/>
  <c r="F38" i="1"/>
  <c r="F35" i="1"/>
  <c r="F15" i="1"/>
  <c r="F12" i="1"/>
  <c r="F6" i="1"/>
</calcChain>
</file>

<file path=xl/connections.xml><?xml version="1.0" encoding="utf-8"?>
<connections xmlns="http://schemas.openxmlformats.org/spreadsheetml/2006/main">
  <connection id="1" odcFile="C:\Program Files (x86)\Microsoft Office\Office14\QUERIES\Cotações de Ações para Investidores do MSN MoneyCentral.iqy" name="Cotações de Ações para Investidores do MSN MoneyCentral" type="4" refreshedVersion="0" background="1">
    <webPr parsePre="1" consecutive="1" url="http://moneycentral.msn.com/investor/external/excel/quotes.asp?SYMBOL=[&quot;QUOTE0&quot;,&quot;Introduza os símbolos referentes às ações da Bolsa do MS Investor separados por vírgulas.&quot;]" htmlFormat="all"/>
    <parameters count="1">
      <parameter name="QUOTE0" prompt="Introduza os símbolos referentes às ações da Bolsa do MS Investor separados por vírgulas."/>
    </parameters>
  </connection>
</connections>
</file>

<file path=xl/sharedStrings.xml><?xml version="1.0" encoding="utf-8"?>
<sst xmlns="http://schemas.openxmlformats.org/spreadsheetml/2006/main" count="1400" uniqueCount="792">
  <si>
    <t>Código ANA</t>
  </si>
  <si>
    <t>Município</t>
  </si>
  <si>
    <t>Reserv</t>
  </si>
  <si>
    <t>Bacia</t>
  </si>
  <si>
    <t>Cap (hm3)</t>
  </si>
  <si>
    <t>SÃO FRANCISCO</t>
  </si>
  <si>
    <t>S.FCO./PERUCABA</t>
  </si>
  <si>
    <t>S.FCO./TRAIPU</t>
  </si>
  <si>
    <t>CORURIPE</t>
  </si>
  <si>
    <t>MAMANGUAPE</t>
  </si>
  <si>
    <t>PARNAÍBA - CE</t>
  </si>
  <si>
    <t>PIANCÓ</t>
  </si>
  <si>
    <t>COREAÚ</t>
  </si>
  <si>
    <t>METROPOLITANA</t>
  </si>
  <si>
    <t>ALTO PARAÍBA</t>
  </si>
  <si>
    <t>ALTO JAGUARIBE</t>
  </si>
  <si>
    <t>SALGADO</t>
  </si>
  <si>
    <t>CURU</t>
  </si>
  <si>
    <t>BANABUIÚ</t>
  </si>
  <si>
    <t>MÉDIO JAGUARIBE</t>
  </si>
  <si>
    <t>TAPEROÁ</t>
  </si>
  <si>
    <t>ACARAÚ</t>
  </si>
  <si>
    <t>LITORAL</t>
  </si>
  <si>
    <t>BAIXO JAGUARIBE</t>
  </si>
  <si>
    <t>CANINDÉ</t>
  </si>
  <si>
    <t>MÉDIO PARAÍBA</t>
  </si>
  <si>
    <t>GOROTUBA</t>
  </si>
  <si>
    <t>CURIMATAÚ</t>
  </si>
  <si>
    <t>JACU</t>
  </si>
  <si>
    <t>SERIDÓ</t>
  </si>
  <si>
    <t>BAIXO PARAÍBA</t>
  </si>
  <si>
    <t>ESPINHARAS</t>
  </si>
  <si>
    <t>BOQUEIRÃO</t>
  </si>
  <si>
    <t>ALTO PIRANHAS</t>
  </si>
  <si>
    <t>MÉDIO PIRANHAS</t>
  </si>
  <si>
    <t>S.FCO./MOXOTÓ</t>
  </si>
  <si>
    <t>PEIXE</t>
  </si>
  <si>
    <t>UNA</t>
  </si>
  <si>
    <t>PAJEÚ</t>
  </si>
  <si>
    <t>CAPIBARIBE</t>
  </si>
  <si>
    <t>Mateus Vieira</t>
  </si>
  <si>
    <t>IPOJUCA</t>
  </si>
  <si>
    <t>IPANEMA</t>
  </si>
  <si>
    <t>MOXOTÓ</t>
  </si>
  <si>
    <t>GARÇAS</t>
  </si>
  <si>
    <t>BRÍGIDA</t>
  </si>
  <si>
    <t>TERRA NOVA</t>
  </si>
  <si>
    <t>Arrodeio</t>
  </si>
  <si>
    <t>PONTAL</t>
  </si>
  <si>
    <t>POTI</t>
  </si>
  <si>
    <t>GURGUEIA</t>
  </si>
  <si>
    <t>TRAIRI</t>
  </si>
  <si>
    <t>CEARÁ-MIRIM</t>
  </si>
  <si>
    <t>POTENGI</t>
  </si>
  <si>
    <t>PIRANHAS/ASSU</t>
  </si>
  <si>
    <t>APODI/MOSSORÓ</t>
  </si>
  <si>
    <t>VAZA BARRIS</t>
  </si>
  <si>
    <t>Tobias Barreto</t>
  </si>
  <si>
    <t>Jabiberi</t>
  </si>
  <si>
    <t>Real</t>
  </si>
  <si>
    <t>Cachoeira</t>
  </si>
  <si>
    <t>Pedra do Cavalo</t>
  </si>
  <si>
    <t>Valença</t>
  </si>
  <si>
    <t>Mesa de Pedra</t>
  </si>
  <si>
    <t>Poti</t>
  </si>
  <si>
    <t>Patos do Piauí</t>
  </si>
  <si>
    <t>Poço do Marruá</t>
  </si>
  <si>
    <t>Canindé</t>
  </si>
  <si>
    <t>Piracuruca</t>
  </si>
  <si>
    <t>Longá</t>
  </si>
  <si>
    <t>Boa Ventura</t>
  </si>
  <si>
    <t>Riacho Verde</t>
  </si>
  <si>
    <t>Piancó</t>
  </si>
  <si>
    <t>Afranio</t>
  </si>
  <si>
    <t>Barra da Melancia</t>
  </si>
  <si>
    <t>Pontal</t>
  </si>
  <si>
    <t>Machado</t>
  </si>
  <si>
    <t>Capibaribe</t>
  </si>
  <si>
    <t>Brejo da Madre de Deus</t>
  </si>
  <si>
    <t>Garanhus</t>
  </si>
  <si>
    <t>Cajarana</t>
  </si>
  <si>
    <t>Mundau</t>
  </si>
  <si>
    <t>Floresta</t>
  </si>
  <si>
    <t>Quebra Unha</t>
  </si>
  <si>
    <t>Pajeu</t>
  </si>
  <si>
    <t>Serra Talhada</t>
  </si>
  <si>
    <t>Parnamirim</t>
  </si>
  <si>
    <t>Brigida</t>
  </si>
  <si>
    <t>Salgueiro</t>
  </si>
  <si>
    <t>Boa Vista (Salgueiro)</t>
  </si>
  <si>
    <t>TerraNova</t>
  </si>
  <si>
    <t>Santana de Matos</t>
  </si>
  <si>
    <t>Alecrim</t>
  </si>
  <si>
    <t>Caraúbas</t>
  </si>
  <si>
    <t>Apanha Peixe</t>
  </si>
  <si>
    <t>Bacia Apodi/Mossoró</t>
  </si>
  <si>
    <t>Rafael Fernandes</t>
  </si>
  <si>
    <t>Santana</t>
  </si>
  <si>
    <t>Caucaia</t>
  </si>
  <si>
    <t>Cauhipe</t>
  </si>
  <si>
    <t>Arapiraca</t>
  </si>
  <si>
    <t>Campo Grande</t>
  </si>
  <si>
    <t>Craíbas</t>
  </si>
  <si>
    <t>Delmiro Gouveia</t>
  </si>
  <si>
    <t>Delimiro Gouveia (Sinimbu)</t>
  </si>
  <si>
    <t>Mata Grande</t>
  </si>
  <si>
    <t>Gravatá</t>
  </si>
  <si>
    <t>Jaramataia</t>
  </si>
  <si>
    <t>Major Isidoro</t>
  </si>
  <si>
    <t>Maravilha</t>
  </si>
  <si>
    <t>Dois Riachos</t>
  </si>
  <si>
    <t>Pai Mané</t>
  </si>
  <si>
    <t>Igaci</t>
  </si>
  <si>
    <t>Palmeira dos Índios (Coruripe)</t>
  </si>
  <si>
    <t>Palestina</t>
  </si>
  <si>
    <t>Retiro</t>
  </si>
  <si>
    <t>São José da Tapera</t>
  </si>
  <si>
    <t>Sertão de Baixo</t>
  </si>
  <si>
    <t>Adustina</t>
  </si>
  <si>
    <t>Barra do Choça</t>
  </si>
  <si>
    <t>Água Fria II</t>
  </si>
  <si>
    <t>Anagé/Caraíbas</t>
  </si>
  <si>
    <t>Anagé</t>
  </si>
  <si>
    <t>Andorinha</t>
  </si>
  <si>
    <t>Andorinha II</t>
  </si>
  <si>
    <t>Mucugê</t>
  </si>
  <si>
    <t>Apertado</t>
  </si>
  <si>
    <t>Araci</t>
  </si>
  <si>
    <t>Guanambi</t>
  </si>
  <si>
    <t>Ceraima</t>
  </si>
  <si>
    <t>Condeúba</t>
  </si>
  <si>
    <t>Champrão</t>
  </si>
  <si>
    <t>Canudos</t>
  </si>
  <si>
    <t>Cocorobó</t>
  </si>
  <si>
    <t>Urandi</t>
  </si>
  <si>
    <t>Cova de Mandioca</t>
  </si>
  <si>
    <t>Estreito</t>
  </si>
  <si>
    <t>França</t>
  </si>
  <si>
    <t>Piritiba/Miguel Calmon</t>
  </si>
  <si>
    <t>Rio de Contas</t>
  </si>
  <si>
    <t>Luiz Vieira (Brumado)</t>
  </si>
  <si>
    <t>Ibipeba</t>
  </si>
  <si>
    <t>Mirorós (Manoel Novais)</t>
  </si>
  <si>
    <t>Poções</t>
  </si>
  <si>
    <t>Morrinhos</t>
  </si>
  <si>
    <t>Jequié</t>
  </si>
  <si>
    <t>Pedra</t>
  </si>
  <si>
    <t>Caém/Capim Grosso</t>
  </si>
  <si>
    <t>Pedras Altas</t>
  </si>
  <si>
    <t>Juazeiro-Curaçá</t>
  </si>
  <si>
    <t>Pinhões</t>
  </si>
  <si>
    <t>Poço do Magro</t>
  </si>
  <si>
    <t>Ponto Novo/Filadélfia</t>
  </si>
  <si>
    <t>Ponto Novo</t>
  </si>
  <si>
    <t>Senhor do Bonfim</t>
  </si>
  <si>
    <t>Livramento</t>
  </si>
  <si>
    <t>Itiúba</t>
  </si>
  <si>
    <t>São José do Jacuipe</t>
  </si>
  <si>
    <t>Serrolândia</t>
  </si>
  <si>
    <t>Tremedal</t>
  </si>
  <si>
    <t>Caculé</t>
  </si>
  <si>
    <t>Panamirim</t>
  </si>
  <si>
    <t>Serrote</t>
  </si>
  <si>
    <t>Truvisco</t>
  </si>
  <si>
    <t>Zabumbão</t>
  </si>
  <si>
    <t>Redenção</t>
  </si>
  <si>
    <t>Massapê</t>
  </si>
  <si>
    <t>Pereiro</t>
  </si>
  <si>
    <t>Maranguape</t>
  </si>
  <si>
    <t>Coreau</t>
  </si>
  <si>
    <t>Aracoiaba</t>
  </si>
  <si>
    <t>Varjota</t>
  </si>
  <si>
    <t>Arneiroz</t>
  </si>
  <si>
    <t>Forquilha</t>
  </si>
  <si>
    <t>Brejo Santo</t>
  </si>
  <si>
    <t>Sobral</t>
  </si>
  <si>
    <t>Banabuiú</t>
  </si>
  <si>
    <t>Independência</t>
  </si>
  <si>
    <t>Ocara</t>
  </si>
  <si>
    <t>Aiuaba</t>
  </si>
  <si>
    <t>Ipú</t>
  </si>
  <si>
    <t>Tauá</t>
  </si>
  <si>
    <t>Aurora</t>
  </si>
  <si>
    <t>Iracema</t>
  </si>
  <si>
    <t>Assaré</t>
  </si>
  <si>
    <t>Tamboril</t>
  </si>
  <si>
    <t>Catunda</t>
  </si>
  <si>
    <t>Crateús</t>
  </si>
  <si>
    <t>Itapiúna</t>
  </si>
  <si>
    <t>Umirim</t>
  </si>
  <si>
    <t>Quixadá</t>
  </si>
  <si>
    <t>Morada Nova</t>
  </si>
  <si>
    <t>Quiterianópolis</t>
  </si>
  <si>
    <t>Caridade</t>
  </si>
  <si>
    <t>Coreaú</t>
  </si>
  <si>
    <t>Antonina do Norte</t>
  </si>
  <si>
    <t>Santa Quitéria</t>
  </si>
  <si>
    <t>Quixelô</t>
  </si>
  <si>
    <t>Nova Russas</t>
  </si>
  <si>
    <t>Novo Oriente</t>
  </si>
  <si>
    <t>Quixeramobim</t>
  </si>
  <si>
    <t>General Sampaio</t>
  </si>
  <si>
    <t>Mauriti</t>
  </si>
  <si>
    <t>Ubajara</t>
  </si>
  <si>
    <t>Deputado Irapuan Pinheiro</t>
  </si>
  <si>
    <t>Irauçuba</t>
  </si>
  <si>
    <t>Jaguaribe</t>
  </si>
  <si>
    <t>Granjeiro</t>
  </si>
  <si>
    <t>Icó</t>
  </si>
  <si>
    <t>Cascavel</t>
  </si>
  <si>
    <t>Juazeiro do Norte</t>
  </si>
  <si>
    <t>Monsenhor Tabosa</t>
  </si>
  <si>
    <t>Uruburetama</t>
  </si>
  <si>
    <t>Cariús</t>
  </si>
  <si>
    <t>Várzea Alegre</t>
  </si>
  <si>
    <t>Orós</t>
  </si>
  <si>
    <t>Pacajus</t>
  </si>
  <si>
    <t>Horizonte</t>
  </si>
  <si>
    <t>Senador Pompeu</t>
  </si>
  <si>
    <t>Pentecoste</t>
  </si>
  <si>
    <t>Barro</t>
  </si>
  <si>
    <t>Boa Viagem</t>
  </si>
  <si>
    <t>Caampos Sales</t>
  </si>
  <si>
    <t>Caririaçu</t>
  </si>
  <si>
    <t>Catarina</t>
  </si>
  <si>
    <t>Cedro</t>
  </si>
  <si>
    <t>Choró</t>
  </si>
  <si>
    <t>Crato</t>
  </si>
  <si>
    <t>Ererê</t>
  </si>
  <si>
    <t>Iguatu</t>
  </si>
  <si>
    <t>Itapipoca</t>
  </si>
  <si>
    <t>Lavras de Mangabeira</t>
  </si>
  <si>
    <t>Ipaporanga</t>
  </si>
  <si>
    <t>Miraima</t>
  </si>
  <si>
    <t>Mombaça</t>
  </si>
  <si>
    <t>Pedra Branca</t>
  </si>
  <si>
    <t>Piquet Carneiro</t>
  </si>
  <si>
    <t>Potiretama</t>
  </si>
  <si>
    <t>Russas</t>
  </si>
  <si>
    <t>Santana do Acaraú</t>
  </si>
  <si>
    <t>Solonópole</t>
  </si>
  <si>
    <t>Tejuçuoca</t>
  </si>
  <si>
    <t>Acarape do Meio</t>
  </si>
  <si>
    <t>Acaraú Mirim</t>
  </si>
  <si>
    <t>Adauto Bezerra</t>
  </si>
  <si>
    <t>Amanary</t>
  </si>
  <si>
    <t>Angicos</t>
  </si>
  <si>
    <t>Araras</t>
  </si>
  <si>
    <t>Arneiroz II</t>
  </si>
  <si>
    <t>Arrebita</t>
  </si>
  <si>
    <t>Atalho</t>
  </si>
  <si>
    <t>Ayres de Souza</t>
  </si>
  <si>
    <t>Barra Velha</t>
  </si>
  <si>
    <t>Batente</t>
  </si>
  <si>
    <t>Benguê</t>
  </si>
  <si>
    <t>Broco</t>
  </si>
  <si>
    <t>Canafístula</t>
  </si>
  <si>
    <t>Canoas</t>
  </si>
  <si>
    <t>Carão</t>
  </si>
  <si>
    <t>Carmina</t>
  </si>
  <si>
    <t>Carnaubal</t>
  </si>
  <si>
    <t>Castanhão</t>
  </si>
  <si>
    <t>Castro</t>
  </si>
  <si>
    <t>Caxitoré</t>
  </si>
  <si>
    <t>Cipoada</t>
  </si>
  <si>
    <t>Colina</t>
  </si>
  <si>
    <t>Cupim</t>
  </si>
  <si>
    <t>Curral Velho</t>
  </si>
  <si>
    <t>Desterro</t>
  </si>
  <si>
    <t>Diamante</t>
  </si>
  <si>
    <t>Do Coronel</t>
  </si>
  <si>
    <t>Edson Queiroz</t>
  </si>
  <si>
    <t>Ema</t>
  </si>
  <si>
    <t>Faé</t>
  </si>
  <si>
    <t>Farias de Sousa</t>
  </si>
  <si>
    <t>Favelas</t>
  </si>
  <si>
    <t>Flor do Campo</t>
  </si>
  <si>
    <t>Fogareiro</t>
  </si>
  <si>
    <t>Forquilha II</t>
  </si>
  <si>
    <t>Frios</t>
  </si>
  <si>
    <t>Gerardo Atimbone</t>
  </si>
  <si>
    <t>Gomes</t>
  </si>
  <si>
    <t>Itapebussu</t>
  </si>
  <si>
    <t>Jaburu I</t>
  </si>
  <si>
    <t>Jaburu II</t>
  </si>
  <si>
    <t>Jenipapeiro</t>
  </si>
  <si>
    <t>Jerimum</t>
  </si>
  <si>
    <t>Junco</t>
  </si>
  <si>
    <t>Madeiro</t>
  </si>
  <si>
    <t>Malcozinhado</t>
  </si>
  <si>
    <t>Manoel Balbino</t>
  </si>
  <si>
    <t>Mundaú</t>
  </si>
  <si>
    <t>Muquém</t>
  </si>
  <si>
    <t>Nova Floresta</t>
  </si>
  <si>
    <t>Olho D'Água</t>
  </si>
  <si>
    <t>Pacoti</t>
  </si>
  <si>
    <t>Parambu</t>
  </si>
  <si>
    <t>Patos</t>
  </si>
  <si>
    <t>Patu</t>
  </si>
  <si>
    <t>Pedras Brancas</t>
  </si>
  <si>
    <t>Penedo</t>
  </si>
  <si>
    <t>Pirabibu</t>
  </si>
  <si>
    <t>Poço da Pedra</t>
  </si>
  <si>
    <t>Poço Verde</t>
  </si>
  <si>
    <t>Prazeres</t>
  </si>
  <si>
    <t>Realejo</t>
  </si>
  <si>
    <t>Riacho do Sangue</t>
  </si>
  <si>
    <t>Rivaldo de Carvalho</t>
  </si>
  <si>
    <t>Salão</t>
  </si>
  <si>
    <t>Santa Maria</t>
  </si>
  <si>
    <t>São Domingos</t>
  </si>
  <si>
    <t>São José II</t>
  </si>
  <si>
    <t>São José III</t>
  </si>
  <si>
    <t>São Pedro Timbaúba</t>
  </si>
  <si>
    <t>Sitios Novos</t>
  </si>
  <si>
    <t>Souza</t>
  </si>
  <si>
    <t>Sucesso</t>
  </si>
  <si>
    <t>Tigre</t>
  </si>
  <si>
    <t>Trapiá II</t>
  </si>
  <si>
    <t>Ubaldinho</t>
  </si>
  <si>
    <t>Vieirão</t>
  </si>
  <si>
    <t>Lima Campos</t>
  </si>
  <si>
    <t>Poço do Barro</t>
  </si>
  <si>
    <t>Pompeu Sobrinho</t>
  </si>
  <si>
    <t>Quixabinha</t>
  </si>
  <si>
    <t>Santa Maria de Aracatiaçu</t>
  </si>
  <si>
    <t>Santo Antônio de Aracatiaçu</t>
  </si>
  <si>
    <t>São Mateus</t>
  </si>
  <si>
    <t>São Vicente</t>
  </si>
  <si>
    <t>Trapiá III</t>
  </si>
  <si>
    <t>Valério</t>
  </si>
  <si>
    <t>Joaquim Távora</t>
  </si>
  <si>
    <t>Rosário</t>
  </si>
  <si>
    <t>Santo Antônio de Russas</t>
  </si>
  <si>
    <t>São Domingos II</t>
  </si>
  <si>
    <t>Thomás Osterne</t>
  </si>
  <si>
    <t>Trussu</t>
  </si>
  <si>
    <t>Trici</t>
  </si>
  <si>
    <t>Serafim Dias</t>
  </si>
  <si>
    <t>Tatajuba</t>
  </si>
  <si>
    <t>Quincoé</t>
  </si>
  <si>
    <t>São José I</t>
  </si>
  <si>
    <t>Acopiara</t>
  </si>
  <si>
    <t>Altaneira</t>
  </si>
  <si>
    <t>Várzea do Boi</t>
  </si>
  <si>
    <t>Janúba</t>
  </si>
  <si>
    <t>Bico da Pedra</t>
  </si>
  <si>
    <t>Água Branca</t>
  </si>
  <si>
    <t>Aguiar</t>
  </si>
  <si>
    <t>Barra de São Miguel</t>
  </si>
  <si>
    <t>Barra de Santa Rosa</t>
  </si>
  <si>
    <t>Belém do Brejo da Cruz</t>
  </si>
  <si>
    <t>Bonito de Santa Fé</t>
  </si>
  <si>
    <t>Boqueirão</t>
  </si>
  <si>
    <t>Brejo do Cruz</t>
  </si>
  <si>
    <t>Cacimba de Dentro</t>
  </si>
  <si>
    <t>Cajazeiras</t>
  </si>
  <si>
    <t>Camalaú</t>
  </si>
  <si>
    <t>Campina Grande</t>
  </si>
  <si>
    <t>Catingueira</t>
  </si>
  <si>
    <t>Caraubas</t>
  </si>
  <si>
    <t>Conceição</t>
  </si>
  <si>
    <t>Condado</t>
  </si>
  <si>
    <t>Congo</t>
  </si>
  <si>
    <t>Coremas</t>
  </si>
  <si>
    <t>Cuité</t>
  </si>
  <si>
    <t>Emas</t>
  </si>
  <si>
    <t>Gurjão</t>
  </si>
  <si>
    <t>Ibiara</t>
  </si>
  <si>
    <t>Igaracy</t>
  </si>
  <si>
    <t>Imaculada</t>
  </si>
  <si>
    <t>Ingá</t>
  </si>
  <si>
    <t>Itaporanga</t>
  </si>
  <si>
    <t>Itatuba</t>
  </si>
  <si>
    <t>Jericó</t>
  </si>
  <si>
    <t>Juazeirinho</t>
  </si>
  <si>
    <t>Juru</t>
  </si>
  <si>
    <t>Manaíra</t>
  </si>
  <si>
    <t>Massaranduba</t>
  </si>
  <si>
    <t>Monteiro</t>
  </si>
  <si>
    <t>Nova Olinda</t>
  </si>
  <si>
    <t>Olivedos</t>
  </si>
  <si>
    <t>Picuí</t>
  </si>
  <si>
    <t>Pocinhos</t>
  </si>
  <si>
    <t>Prata</t>
  </si>
  <si>
    <t>Princesa Isabel</t>
  </si>
  <si>
    <t>Puxinanã</t>
  </si>
  <si>
    <t>Riacho Cavalos</t>
  </si>
  <si>
    <t>Santa Luzia</t>
  </si>
  <si>
    <t>Santa Terezinha</t>
  </si>
  <si>
    <t>Santana de Mangueira</t>
  </si>
  <si>
    <t>Santana dos Garrotes</t>
  </si>
  <si>
    <t>São Domingos Cariri</t>
  </si>
  <si>
    <t>São Francisco</t>
  </si>
  <si>
    <t>São José do Brejo da Cruz</t>
  </si>
  <si>
    <t>São João do Cariri</t>
  </si>
  <si>
    <t>São João Rio Peixe</t>
  </si>
  <si>
    <t>São José de Piranhas</t>
  </si>
  <si>
    <t>São José dos Cordeiros</t>
  </si>
  <si>
    <t>São José da Lagoa Tapada</t>
  </si>
  <si>
    <t>São Mamede</t>
  </si>
  <si>
    <t>São Sebastião do Umbuzeiro</t>
  </si>
  <si>
    <t>Seridó</t>
  </si>
  <si>
    <t>Serra Branca</t>
  </si>
  <si>
    <t>Soledade</t>
  </si>
  <si>
    <t>Sousa</t>
  </si>
  <si>
    <t>Sumé</t>
  </si>
  <si>
    <t>Taperoá</t>
  </si>
  <si>
    <t>Tavares</t>
  </si>
  <si>
    <t>Teixeira</t>
  </si>
  <si>
    <t>Uirauna</t>
  </si>
  <si>
    <t>Várzea</t>
  </si>
  <si>
    <t>Acuã</t>
  </si>
  <si>
    <t>Albino</t>
  </si>
  <si>
    <t>Arrojado</t>
  </si>
  <si>
    <t>Baião</t>
  </si>
  <si>
    <t>Bartolomeu I</t>
  </si>
  <si>
    <t>Bichinho</t>
  </si>
  <si>
    <t>Bom Jesus II</t>
  </si>
  <si>
    <t>Boqueirão do Cais</t>
  </si>
  <si>
    <t>Bruscas</t>
  </si>
  <si>
    <t>Cachoeira dos Alves</t>
  </si>
  <si>
    <t>Cachoeira dos Cegos</t>
  </si>
  <si>
    <t>Cacimba de Várzea</t>
  </si>
  <si>
    <t>Campos</t>
  </si>
  <si>
    <t>Capivara</t>
  </si>
  <si>
    <t>Capoeira</t>
  </si>
  <si>
    <t>Caraibeiras</t>
  </si>
  <si>
    <t>Carneiro</t>
  </si>
  <si>
    <t>Catolé I</t>
  </si>
  <si>
    <t>Chã dos Pereiras</t>
  </si>
  <si>
    <t>Chupadouro I</t>
  </si>
  <si>
    <t>Cochos</t>
  </si>
  <si>
    <t>Cordeiro</t>
  </si>
  <si>
    <t>Cruz dos Pocinhos</t>
  </si>
  <si>
    <t>Curema</t>
  </si>
  <si>
    <t>Curimataú</t>
  </si>
  <si>
    <t>Engenheiro Arcoverde</t>
  </si>
  <si>
    <t>Engenheiro Ávidos</t>
  </si>
  <si>
    <t>Epitácio Pessoa</t>
  </si>
  <si>
    <t>Escondido</t>
  </si>
  <si>
    <t>Farinha</t>
  </si>
  <si>
    <t>Felismina de Queiroz</t>
  </si>
  <si>
    <t>Frutuoso II</t>
  </si>
  <si>
    <t>Jatobá I</t>
  </si>
  <si>
    <t>Jatobá II</t>
  </si>
  <si>
    <t>Jenipapeiro (Buiu)</t>
  </si>
  <si>
    <t>Jeremias</t>
  </si>
  <si>
    <t>José Rodrigues</t>
  </si>
  <si>
    <t>Lagoa de Arroz</t>
  </si>
  <si>
    <t>Lagoa do Meio</t>
  </si>
  <si>
    <t>Livramento (Russos)</t>
  </si>
  <si>
    <t>Mãe D'Água</t>
  </si>
  <si>
    <t>Mucutu</t>
  </si>
  <si>
    <t>Namorado</t>
  </si>
  <si>
    <t>Novo II</t>
  </si>
  <si>
    <t>Milhã (E. Gonçalves)</t>
  </si>
  <si>
    <t>Paraíso (Luiz Oliveira)</t>
  </si>
  <si>
    <t>Pilões</t>
  </si>
  <si>
    <t>Piranhas</t>
  </si>
  <si>
    <t>Poço Redondo</t>
  </si>
  <si>
    <t>Poleiros</t>
  </si>
  <si>
    <t>Prata II</t>
  </si>
  <si>
    <t>Queimadas</t>
  </si>
  <si>
    <t>Riacho da Moças</t>
  </si>
  <si>
    <t>Riacho dos Cavalos</t>
  </si>
  <si>
    <t>Riacho Santo Antônio</t>
  </si>
  <si>
    <t>Sabonete</t>
  </si>
  <si>
    <t>Saco</t>
  </si>
  <si>
    <t>Santa Rosa</t>
  </si>
  <si>
    <t>Santo Antônio</t>
  </si>
  <si>
    <t>São Francisco II</t>
  </si>
  <si>
    <t>São Gonçalo</t>
  </si>
  <si>
    <t>São Paulo</t>
  </si>
  <si>
    <t>Serra Branca I</t>
  </si>
  <si>
    <t>Serra Branca II</t>
  </si>
  <si>
    <t>Serra Vermelha I</t>
  </si>
  <si>
    <t>Sindô Ribeiro</t>
  </si>
  <si>
    <t>Tapera</t>
  </si>
  <si>
    <t>Taperoá II (Manoel Marcionilo)</t>
  </si>
  <si>
    <t>TavaresII</t>
  </si>
  <si>
    <t>Timbaúba</t>
  </si>
  <si>
    <t>Várzea Grande</t>
  </si>
  <si>
    <t>Vazante</t>
  </si>
  <si>
    <t>Video</t>
  </si>
  <si>
    <t>Boqueirão (Riacho Santo Antônio)</t>
  </si>
  <si>
    <t>Araripina</t>
  </si>
  <si>
    <t>Afogados da Ingazeira</t>
  </si>
  <si>
    <t>Belo Jardim</t>
  </si>
  <si>
    <t>Bodocó</t>
  </si>
  <si>
    <t>Brejinho</t>
  </si>
  <si>
    <t>Capoeiras</t>
  </si>
  <si>
    <t>Carnaíba</t>
  </si>
  <si>
    <t>Caruaru</t>
  </si>
  <si>
    <t>Custódia</t>
  </si>
  <si>
    <t>Ibimirim</t>
  </si>
  <si>
    <t>Iguaraci/Inagazeira</t>
  </si>
  <si>
    <t>Itapetim</t>
  </si>
  <si>
    <t>Mirandiba</t>
  </si>
  <si>
    <t>Ouricuri</t>
  </si>
  <si>
    <t>Pesqueira</t>
  </si>
  <si>
    <t>Poção</t>
  </si>
  <si>
    <t>São Joaquim do Monte</t>
  </si>
  <si>
    <t>São José do Belmonte</t>
  </si>
  <si>
    <t>São José do Egito</t>
  </si>
  <si>
    <t>Sertânia</t>
  </si>
  <si>
    <t>Santa Cruz do Capibaribe</t>
  </si>
  <si>
    <t>Santa Maria da Boa Vista</t>
  </si>
  <si>
    <t>Surubim/Cumaru</t>
  </si>
  <si>
    <t>Taguaritinga do Norte</t>
  </si>
  <si>
    <t>Terra Nova</t>
  </si>
  <si>
    <t>Tuparetama</t>
  </si>
  <si>
    <t>Venturosa</t>
  </si>
  <si>
    <t>Algodões</t>
  </si>
  <si>
    <t>Abóboras</t>
  </si>
  <si>
    <t>Araripina (Baixio)</t>
  </si>
  <si>
    <t>Arcoverde</t>
  </si>
  <si>
    <t>Barra</t>
  </si>
  <si>
    <t>Barra do Juá</t>
  </si>
  <si>
    <t>Belo Jardim (Ipojuca)</t>
  </si>
  <si>
    <t>Boa Vista</t>
  </si>
  <si>
    <t>Bom Sucesso</t>
  </si>
  <si>
    <t>Brotas</t>
  </si>
  <si>
    <t>Cachimbo</t>
  </si>
  <si>
    <t>Cachoeira I</t>
  </si>
  <si>
    <t>Cachoeira II</t>
  </si>
  <si>
    <t>Caianinha</t>
  </si>
  <si>
    <t>Chapéu</t>
  </si>
  <si>
    <t>Chinelo</t>
  </si>
  <si>
    <t>Duas Serras</t>
  </si>
  <si>
    <t>Engenheiro Camacho (Tamboril II)</t>
  </si>
  <si>
    <t>Engenheiro Francisco Saboia</t>
  </si>
  <si>
    <t>Engenheiro Gercino Pontes (Tabocas)</t>
  </si>
  <si>
    <t>Engenheiro Severino Guerra (Bitury)</t>
  </si>
  <si>
    <t>Entremontes</t>
  </si>
  <si>
    <t>Ingazeira</t>
  </si>
  <si>
    <t>Ipaneminha</t>
  </si>
  <si>
    <t>Jazigo</t>
  </si>
  <si>
    <t>Jua</t>
  </si>
  <si>
    <t>Jucazinho</t>
  </si>
  <si>
    <t>Lagoa do Barro</t>
  </si>
  <si>
    <t>Lopes II</t>
  </si>
  <si>
    <t>Marrecas / Custódia</t>
  </si>
  <si>
    <t>Mororo</t>
  </si>
  <si>
    <t>Nilo Coelho</t>
  </si>
  <si>
    <t>Oitis</t>
  </si>
  <si>
    <t>Pão de Açúcar</t>
  </si>
  <si>
    <t>Pau Branco</t>
  </si>
  <si>
    <t>Poço Fundo</t>
  </si>
  <si>
    <t>Rancharia</t>
  </si>
  <si>
    <t>Saco I</t>
  </si>
  <si>
    <t>Saco II</t>
  </si>
  <si>
    <t>Serrinha II</t>
  </si>
  <si>
    <t>Serrinha/Serraria</t>
  </si>
  <si>
    <t xml:space="preserve">Tabocas-Piaça </t>
  </si>
  <si>
    <t>Taquara</t>
  </si>
  <si>
    <t>Bocaina</t>
  </si>
  <si>
    <t>Bom Fim</t>
  </si>
  <si>
    <t>Conceição do Canindé</t>
  </si>
  <si>
    <t>Curimatá</t>
  </si>
  <si>
    <t>Dirceu Arco Verde</t>
  </si>
  <si>
    <t>Dom Inocêncio</t>
  </si>
  <si>
    <t>Fronteiras</t>
  </si>
  <si>
    <t>Padre Marcos</t>
  </si>
  <si>
    <t>Paulistana</t>
  </si>
  <si>
    <t>Pedro II</t>
  </si>
  <si>
    <t>São Francisco do Piauí</t>
  </si>
  <si>
    <t>São João do Piauí</t>
  </si>
  <si>
    <t>São Raimundo Nonato</t>
  </si>
  <si>
    <t>São Julião</t>
  </si>
  <si>
    <t>Simplicio Mendes</t>
  </si>
  <si>
    <t>Bomfim</t>
  </si>
  <si>
    <t>Pedra Redonda</t>
  </si>
  <si>
    <t>Algodões II</t>
  </si>
  <si>
    <t>Malhadinha</t>
  </si>
  <si>
    <t>Nonato</t>
  </si>
  <si>
    <t>Barreiras</t>
  </si>
  <si>
    <t>Ingazeiras</t>
  </si>
  <si>
    <t>Joana</t>
  </si>
  <si>
    <t>Salinas</t>
  </si>
  <si>
    <t>Jenipapo</t>
  </si>
  <si>
    <t>Petrônio Portela</t>
  </si>
  <si>
    <t>Piaus</t>
  </si>
  <si>
    <t>Poços</t>
  </si>
  <si>
    <t>Acari</t>
  </si>
  <si>
    <t>Açu</t>
  </si>
  <si>
    <t>Afonso Bezerra</t>
  </si>
  <si>
    <t>Antonio Martins</t>
  </si>
  <si>
    <t>Apodi</t>
  </si>
  <si>
    <t>Caicó</t>
  </si>
  <si>
    <t>Cruzeta</t>
  </si>
  <si>
    <t>Currais Novos</t>
  </si>
  <si>
    <t>Encanto</t>
  </si>
  <si>
    <t>Francisco Dantas</t>
  </si>
  <si>
    <t>Ipanguaçu</t>
  </si>
  <si>
    <t>Itau</t>
  </si>
  <si>
    <t>Jardim do Seridó</t>
  </si>
  <si>
    <t>José da Penha</t>
  </si>
  <si>
    <t>Lucrécia</t>
  </si>
  <si>
    <t>Marcelino Vieira</t>
  </si>
  <si>
    <t>Olho D'Água do Borges</t>
  </si>
  <si>
    <t>Ouro Branco</t>
  </si>
  <si>
    <t>Paraú</t>
  </si>
  <si>
    <t>Parelhas</t>
  </si>
  <si>
    <t>Pau dos Ferros</t>
  </si>
  <si>
    <t>Poço Branco</t>
  </si>
  <si>
    <t>Riacho da Cruz</t>
  </si>
  <si>
    <t>Rodolfo Fernades</t>
  </si>
  <si>
    <t>Santa Cruz</t>
  </si>
  <si>
    <t>São José do Campestre</t>
  </si>
  <si>
    <t>São José do Seridó</t>
  </si>
  <si>
    <t>São Miguel</t>
  </si>
  <si>
    <t>São Paulo do Potengi</t>
  </si>
  <si>
    <t>Severiano Melo</t>
  </si>
  <si>
    <t>Tangará</t>
  </si>
  <si>
    <t>Tenente Ananias</t>
  </si>
  <si>
    <t>Touros</t>
  </si>
  <si>
    <t>Umarizal</t>
  </si>
  <si>
    <t>25 de Março</t>
  </si>
  <si>
    <t>Beldroega</t>
  </si>
  <si>
    <t>Bonito II</t>
  </si>
  <si>
    <t>Boqueirão de Angicos</t>
  </si>
  <si>
    <t>Boqueirão de Parelhas (Ministro João Alves)</t>
  </si>
  <si>
    <t>Brejo</t>
  </si>
  <si>
    <t>Caldeirão de Parelhas</t>
  </si>
  <si>
    <t>Campo grande</t>
  </si>
  <si>
    <t>Carnaúba</t>
  </si>
  <si>
    <t>Corredor</t>
  </si>
  <si>
    <t>Currais</t>
  </si>
  <si>
    <t>Dourado</t>
  </si>
  <si>
    <t>Engenheiro Armando Ribeiro Gonçalves</t>
  </si>
  <si>
    <t>Esguicho</t>
  </si>
  <si>
    <t>Flechas</t>
  </si>
  <si>
    <t>Inharé</t>
  </si>
  <si>
    <t>Itans</t>
  </si>
  <si>
    <t>Jesus Maria José</t>
  </si>
  <si>
    <t>Lagoa do Boqueirão</t>
  </si>
  <si>
    <t>Malhada Vermelha</t>
  </si>
  <si>
    <t>Marechal Dutra</t>
  </si>
  <si>
    <t>Mendubim</t>
  </si>
  <si>
    <t>Morcego</t>
  </si>
  <si>
    <t>Mundo Novo</t>
  </si>
  <si>
    <t>Passagem</t>
  </si>
  <si>
    <t>Passagem das Traíras</t>
  </si>
  <si>
    <t>Pataxó</t>
  </si>
  <si>
    <t>Riacho da Cruz II</t>
  </si>
  <si>
    <t>Rio da Pedra</t>
  </si>
  <si>
    <t>Rodeador</t>
  </si>
  <si>
    <t>São João do Sabugi</t>
  </si>
  <si>
    <t>Sabugi</t>
  </si>
  <si>
    <t>Santa Cruz do Apodi</t>
  </si>
  <si>
    <t>Santa Cruz do Trairi</t>
  </si>
  <si>
    <t>Santo Antônio das Caraúbas</t>
  </si>
  <si>
    <t>Sossego</t>
  </si>
  <si>
    <t>Tesoura</t>
  </si>
  <si>
    <t>Tourão</t>
  </si>
  <si>
    <t>Trairi</t>
  </si>
  <si>
    <t>Umari</t>
  </si>
  <si>
    <t>Zangarelhas</t>
  </si>
  <si>
    <t>Japi II</t>
  </si>
  <si>
    <t>Nossa Senhora da Glória</t>
  </si>
  <si>
    <t>Frei Paulo</t>
  </si>
  <si>
    <t>Porto da Folha</t>
  </si>
  <si>
    <t>Gracho Cardoso</t>
  </si>
  <si>
    <t>Algodoeiro</t>
  </si>
  <si>
    <t>Coité</t>
  </si>
  <si>
    <t>Lagoa do Rancho</t>
  </si>
  <si>
    <t>Três Barras</t>
  </si>
  <si>
    <t>Bonito</t>
  </si>
  <si>
    <t>Riacho do Paulo</t>
  </si>
  <si>
    <t>Rômulo Campos (Jacurici)</t>
  </si>
  <si>
    <t>COMPLEMENTAR</t>
  </si>
  <si>
    <t>SERGIPE</t>
  </si>
  <si>
    <t>JAPARATUBA</t>
  </si>
  <si>
    <t>S.FCO./IPANEMA</t>
  </si>
  <si>
    <t>MUNDAÚ</t>
  </si>
  <si>
    <t>Itapajé</t>
  </si>
  <si>
    <t>S.FCO./JACARÉ</t>
  </si>
  <si>
    <t>S.FCO./PARICONHA</t>
  </si>
  <si>
    <t>Palmeira dos Indios</t>
  </si>
  <si>
    <t>Jacaré dos Homens</t>
  </si>
  <si>
    <t>Pariconha</t>
  </si>
  <si>
    <t>Poço das Trincheiras</t>
  </si>
  <si>
    <t>Santa Inês</t>
  </si>
  <si>
    <t>SEM INFORMAÇÃO</t>
  </si>
  <si>
    <t>Algodão de Jandaíra</t>
  </si>
  <si>
    <t>Carrapateira</t>
  </si>
  <si>
    <t>Montadas</t>
  </si>
  <si>
    <t>Ouro Velho</t>
  </si>
  <si>
    <t>São José dp Sabugi</t>
  </si>
  <si>
    <t>Baturité</t>
  </si>
  <si>
    <t>Baixio</t>
  </si>
  <si>
    <t>Potengi</t>
  </si>
  <si>
    <t>Pio IX</t>
  </si>
  <si>
    <t>Triunfo</t>
  </si>
  <si>
    <t>Luis Gomes</t>
  </si>
  <si>
    <t>Alto Santo</t>
  </si>
  <si>
    <t>Capistrano</t>
  </si>
  <si>
    <t>Itapagé</t>
  </si>
  <si>
    <t>Cachoeira dos Índios</t>
  </si>
  <si>
    <t>Ibaretama</t>
  </si>
  <si>
    <t>Bananeiras</t>
  </si>
  <si>
    <t>Santana do Ipanema</t>
  </si>
  <si>
    <t>São Caetano</t>
  </si>
  <si>
    <t>Serrita</t>
  </si>
  <si>
    <t>Caracol</t>
  </si>
  <si>
    <t>São Sebastião Lagoa de Roça</t>
  </si>
  <si>
    <t>Girau do Ponciano</t>
  </si>
  <si>
    <t>Jacobina</t>
  </si>
  <si>
    <t>Palmeirina</t>
  </si>
  <si>
    <t>São José Caiana</t>
  </si>
  <si>
    <t>Santa Cruz de Malta</t>
  </si>
  <si>
    <t>Cumbe</t>
  </si>
  <si>
    <t>Antônio Gonçalves</t>
  </si>
  <si>
    <t>Serra Grande</t>
  </si>
  <si>
    <t>Carira</t>
  </si>
  <si>
    <t>Pindobaçu</t>
  </si>
  <si>
    <t>Ribeirópolis</t>
  </si>
  <si>
    <t>Alagadiço</t>
  </si>
  <si>
    <t>Algodão</t>
  </si>
  <si>
    <t>Areial</t>
  </si>
  <si>
    <t>Covão</t>
  </si>
  <si>
    <t>Laje do Gato</t>
  </si>
  <si>
    <t>Buíque</t>
  </si>
  <si>
    <t>Mulungu</t>
  </si>
  <si>
    <t>São José IV</t>
  </si>
  <si>
    <t>Sohen</t>
  </si>
  <si>
    <t>Tijuquinha</t>
  </si>
  <si>
    <t>Travessia</t>
  </si>
  <si>
    <t>Jenipapeiro II</t>
  </si>
  <si>
    <t>Pau Preto</t>
  </si>
  <si>
    <t>Gamela</t>
  </si>
  <si>
    <t>Bastiana</t>
  </si>
  <si>
    <t>Arapuã</t>
  </si>
  <si>
    <t>Riacho da Serra</t>
  </si>
  <si>
    <t>Pesqueiro</t>
  </si>
  <si>
    <t>Cachoeira da Vaca</t>
  </si>
  <si>
    <t>Macacos</t>
  </si>
  <si>
    <t>Lagoa do Matias</t>
  </si>
  <si>
    <t>Riacho do Bode</t>
  </si>
  <si>
    <t>Quandú</t>
  </si>
  <si>
    <t>Capitão Mor</t>
  </si>
  <si>
    <t>Brejo do Buraco</t>
  </si>
  <si>
    <t>Poço Grande</t>
  </si>
  <si>
    <t>Gavião</t>
  </si>
  <si>
    <t>Fagundes</t>
  </si>
  <si>
    <t>Glória</t>
  </si>
  <si>
    <t>Caraibinhas</t>
  </si>
  <si>
    <t>São Sebastião</t>
  </si>
  <si>
    <t>Ponciano</t>
  </si>
  <si>
    <t>Cachoeira Grande</t>
  </si>
  <si>
    <t>Inhumas</t>
  </si>
  <si>
    <t>Pimenta</t>
  </si>
  <si>
    <t>Quicé</t>
  </si>
  <si>
    <t>Brejos dos Coelhos</t>
  </si>
  <si>
    <t>Cacimba</t>
  </si>
  <si>
    <t>Aipim</t>
  </si>
  <si>
    <t>Cafundó</t>
  </si>
  <si>
    <t>GOIANA</t>
  </si>
  <si>
    <t>Bandeira de Melo</t>
  </si>
  <si>
    <t>Fátima</t>
  </si>
  <si>
    <t>Jatobá</t>
  </si>
  <si>
    <t>Palmeirinha</t>
  </si>
  <si>
    <t>Varzinha</t>
  </si>
  <si>
    <t>Itaetê/Boa Vista do Tupim</t>
  </si>
  <si>
    <t>Picos</t>
  </si>
  <si>
    <t>Milhã</t>
  </si>
  <si>
    <t>Bom Jardim</t>
  </si>
  <si>
    <t>iracema</t>
  </si>
  <si>
    <t>Carire</t>
  </si>
  <si>
    <t>Madalena</t>
  </si>
  <si>
    <t>Petrolina</t>
  </si>
  <si>
    <t>Mamoeiro</t>
  </si>
  <si>
    <t>Missi</t>
  </si>
  <si>
    <t>Vira Beiju</t>
  </si>
  <si>
    <t>Caraíba dos Nunes</t>
  </si>
  <si>
    <t>Contas</t>
  </si>
  <si>
    <t>Itapicuru</t>
  </si>
  <si>
    <t>Paraguaçu</t>
  </si>
  <si>
    <t>Paramirim</t>
  </si>
  <si>
    <t>Rio Pardo</t>
  </si>
  <si>
    <t>Vaza-Barris</t>
  </si>
  <si>
    <t>Bom Jesus</t>
  </si>
  <si>
    <t>Emídio</t>
  </si>
  <si>
    <t>Barrinha</t>
  </si>
  <si>
    <t>Aldeia</t>
  </si>
  <si>
    <t>Poço Branco (João Batista do Rego Pereira)</t>
  </si>
  <si>
    <t>Volume (hm3) - Janeiro 2016</t>
  </si>
  <si>
    <t>Volume (hm3) - Fevereiro 2016</t>
  </si>
  <si>
    <t>Volume (hm3) - Marco 2016</t>
  </si>
  <si>
    <t>Volume (hm3) - Abril 2016</t>
  </si>
  <si>
    <t>Volume (hm3) - Maio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</si>
</sst>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scheme val="minor"/>
    </font>
    <font>
      <sz val="11"/>
      <name val="Arial"/>
      <family val="2"/>
    </font>
    <font>
      <sz val="11"/>
      <color theme="1"/>
      <name val="Calibri"/>
      <scheme val="minor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Fill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 applyFill="1"/>
    <xf numFmtId="4" fontId="0" fillId="0" borderId="0" xfId="0" applyNumberFormat="1" applyFont="1" applyFill="1"/>
    <xf numFmtId="2" fontId="0" fillId="0" borderId="10" xfId="0" applyNumberFormat="1" applyFont="1" applyFill="1" applyBorder="1" applyAlignment="1">
      <alignment vertical="top" wrapText="1"/>
    </xf>
    <xf numFmtId="2" fontId="0" fillId="0" borderId="0" xfId="0" applyNumberFormat="1" applyFont="1" applyFill="1" applyBorder="1" applyAlignment="1">
      <alignment vertical="top" wrapText="1"/>
    </xf>
    <xf numFmtId="2" fontId="0" fillId="0" borderId="10" xfId="0" applyNumberFormat="1" applyFont="1" applyFill="1" applyBorder="1"/>
    <xf numFmtId="2" fontId="0" fillId="0" borderId="10" xfId="0" applyNumberFormat="1" applyFont="1" applyFill="1" applyBorder="1" applyAlignment="1">
      <alignment horizontal="right" vertical="center" wrapText="1"/>
    </xf>
    <xf numFmtId="2" fontId="0" fillId="0" borderId="0" xfId="0" applyNumberFormat="1" applyFont="1" applyFill="1" applyAlignment="1">
      <alignment horizontal="right" vertical="center" wrapText="1"/>
    </xf>
    <xf numFmtId="2" fontId="0" fillId="0" borderId="0" xfId="0" applyNumberFormat="1" applyFont="1" applyFill="1" applyBorder="1" applyAlignment="1">
      <alignment horizontal="right" vertical="center" wrapText="1"/>
    </xf>
    <xf numFmtId="4" fontId="0" fillId="33" borderId="11" xfId="0" applyNumberFormat="1" applyFont="1" applyFill="1" applyBorder="1"/>
    <xf numFmtId="4" fontId="0" fillId="34" borderId="11" xfId="0" applyNumberFormat="1" applyFont="1" applyFill="1" applyBorder="1"/>
    <xf numFmtId="4" fontId="21" fillId="0" borderId="0" xfId="0" applyNumberFormat="1" applyFont="1" applyAlignment="1">
      <alignment horizontal="right" vertical="center" wrapText="1"/>
    </xf>
    <xf numFmtId="4" fontId="18" fillId="0" borderId="0" xfId="0" applyNumberFormat="1" applyFont="1" applyFill="1"/>
    <xf numFmtId="0" fontId="22" fillId="0" borderId="0" xfId="0" applyFont="1"/>
    <xf numFmtId="4" fontId="18" fillId="33" borderId="11" xfId="0" applyNumberFormat="1" applyFont="1" applyFill="1" applyBorder="1"/>
    <xf numFmtId="4" fontId="18" fillId="34" borderId="11" xfId="0" applyNumberFormat="1" applyFont="1" applyFill="1" applyBorder="1"/>
    <xf numFmtId="4" fontId="21" fillId="0" borderId="0" xfId="0" applyNumberFormat="1" applyFont="1" applyFill="1" applyAlignment="1">
      <alignment horizontal="right" vertical="center" wrapText="1"/>
    </xf>
    <xf numFmtId="4" fontId="21" fillId="34" borderId="11" xfId="0" applyNumberFormat="1" applyFont="1" applyFill="1" applyBorder="1" applyAlignment="1">
      <alignment horizontal="right" vertical="center" wrapText="1"/>
    </xf>
    <xf numFmtId="4" fontId="21" fillId="33" borderId="11" xfId="0" applyNumberFormat="1" applyFont="1" applyFill="1" applyBorder="1" applyAlignment="1">
      <alignment horizontal="right" vertical="center" wrapText="1"/>
    </xf>
    <xf numFmtId="4" fontId="23" fillId="0" borderId="0" xfId="0" applyNumberFormat="1" applyFont="1" applyAlignment="1">
      <alignment horizontal="right" vertical="center" wrapText="1"/>
    </xf>
    <xf numFmtId="0" fontId="24" fillId="0" borderId="0" xfId="0" applyFont="1" applyFill="1"/>
    <xf numFmtId="4" fontId="24" fillId="0" borderId="0" xfId="0" applyNumberFormat="1" applyFont="1" applyFill="1"/>
    <xf numFmtId="4" fontId="25" fillId="0" borderId="0" xfId="0" applyNumberFormat="1" applyFont="1" applyFill="1" applyAlignment="1">
      <alignment horizontal="right" vertical="center" wrapText="1"/>
    </xf>
    <xf numFmtId="4" fontId="26" fillId="34" borderId="11" xfId="0" applyNumberFormat="1" applyFont="1" applyFill="1" applyBorder="1" applyAlignment="1">
      <alignment horizontal="right" vertical="center" wrapText="1"/>
    </xf>
    <xf numFmtId="4" fontId="26" fillId="33" borderId="11" xfId="0" applyNumberFormat="1" applyFont="1" applyFill="1" applyBorder="1" applyAlignment="1">
      <alignment horizontal="righ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ela1" displayName="Tabela1" ref="A1:J454" totalsRowShown="0" headerRowDxfId="12" dataDxfId="11">
  <autoFilter ref="A1:J454"/>
  <sortState ref="A2:H453">
    <sortCondition ref="C1:C453"/>
  </sortState>
  <tableColumns count="10">
    <tableColumn id="1" name="Código ANA" dataDxfId="10"/>
    <tableColumn id="2" name="Município" dataDxfId="9"/>
    <tableColumn id="3" name="Reserv" dataDxfId="8"/>
    <tableColumn id="4" name="Bacia" dataDxfId="7"/>
    <tableColumn id="5" name="Cap (hm3)" dataDxfId="6" totalsRowDxfId="5"/>
    <tableColumn id="6" name="Volume (hm3) - Janeiro 2016" dataDxfId="4"/>
    <tableColumn id="7" name="Volume (hm3) - Fevereiro 2016" dataDxfId="3"/>
    <tableColumn id="8" name="Volume (hm3) - Marco 2016" dataDxfId="2"/>
    <tableColumn id="11" name="Volume (hm3) - Abril 2016" dataDxfId="1"/>
    <tableColumn id="14" name="Volume (hm3) - Maio 201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"/>
  <sheetViews>
    <sheetView tabSelected="1" topLeftCell="C411" zoomScale="85" zoomScaleNormal="85" workbookViewId="0">
      <selection activeCell="L6" sqref="L6"/>
    </sheetView>
  </sheetViews>
  <sheetFormatPr defaultRowHeight="15"/>
  <cols>
    <col min="1" max="1" width="13.85546875" style="2" bestFit="1" customWidth="1"/>
    <col min="2" max="2" width="13.85546875" style="2" customWidth="1"/>
    <col min="3" max="3" width="23.5703125" style="2" customWidth="1"/>
    <col min="4" max="5" width="21.140625" style="2" bestFit="1" customWidth="1"/>
    <col min="6" max="7" width="29" style="2" bestFit="1" customWidth="1"/>
    <col min="8" max="8" width="31.140625" style="2" bestFit="1" customWidth="1"/>
    <col min="9" max="9" width="32.28515625" style="2" customWidth="1"/>
    <col min="10" max="10" width="23.140625" style="2" customWidth="1"/>
    <col min="11" max="16384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787</v>
      </c>
      <c r="G1" s="20" t="s">
        <v>788</v>
      </c>
      <c r="H1" s="20" t="s">
        <v>789</v>
      </c>
      <c r="I1" s="20" t="s">
        <v>790</v>
      </c>
      <c r="J1" s="20" t="s">
        <v>791</v>
      </c>
    </row>
    <row r="2" spans="1:10" s="6" customFormat="1">
      <c r="A2" s="2">
        <v>12001</v>
      </c>
      <c r="B2" s="8" t="s">
        <v>604</v>
      </c>
      <c r="C2" s="8" t="s">
        <v>618</v>
      </c>
      <c r="D2" s="8" t="s">
        <v>55</v>
      </c>
      <c r="E2" s="9">
        <v>4.72</v>
      </c>
      <c r="F2" s="11">
        <v>0</v>
      </c>
      <c r="G2" s="18">
        <v>0</v>
      </c>
      <c r="H2" s="26">
        <v>0</v>
      </c>
      <c r="I2" s="24">
        <v>0</v>
      </c>
      <c r="J2" s="30">
        <v>0</v>
      </c>
    </row>
    <row r="3" spans="1:10" s="5" customFormat="1">
      <c r="A3" s="2">
        <v>12002</v>
      </c>
      <c r="B3" s="8" t="s">
        <v>86</v>
      </c>
      <c r="C3" s="8" t="s">
        <v>514</v>
      </c>
      <c r="D3" s="8" t="s">
        <v>46</v>
      </c>
      <c r="E3" s="9">
        <v>14.35</v>
      </c>
      <c r="F3" s="11">
        <v>0</v>
      </c>
      <c r="G3" s="18">
        <v>0</v>
      </c>
      <c r="H3" s="26">
        <v>0</v>
      </c>
      <c r="I3" s="25">
        <v>0</v>
      </c>
      <c r="J3" s="31">
        <v>0</v>
      </c>
    </row>
    <row r="4" spans="1:10" s="6" customFormat="1">
      <c r="A4" s="2">
        <v>12003</v>
      </c>
      <c r="B4" s="8" t="s">
        <v>165</v>
      </c>
      <c r="C4" s="8" t="s">
        <v>242</v>
      </c>
      <c r="D4" s="8" t="s">
        <v>13</v>
      </c>
      <c r="E4" s="9">
        <v>29.59</v>
      </c>
      <c r="F4" s="11">
        <v>8.25</v>
      </c>
      <c r="G4" s="18">
        <v>7.92</v>
      </c>
      <c r="H4" s="26">
        <v>7.44</v>
      </c>
      <c r="I4" s="24">
        <v>7.88</v>
      </c>
      <c r="J4" s="31">
        <v>10.75</v>
      </c>
    </row>
    <row r="5" spans="1:10" s="6" customFormat="1">
      <c r="A5" s="2">
        <v>12004</v>
      </c>
      <c r="B5" s="8" t="s">
        <v>166</v>
      </c>
      <c r="C5" s="8" t="s">
        <v>243</v>
      </c>
      <c r="D5" s="8" t="s">
        <v>21</v>
      </c>
      <c r="E5" s="9">
        <v>52</v>
      </c>
      <c r="F5" s="11">
        <v>11.5</v>
      </c>
      <c r="G5" s="18">
        <v>11.84</v>
      </c>
      <c r="H5" s="26">
        <v>11.84</v>
      </c>
      <c r="I5" s="24">
        <v>14.34</v>
      </c>
      <c r="J5" s="30">
        <v>22.18</v>
      </c>
    </row>
    <row r="6" spans="1:10" s="6" customFormat="1">
      <c r="A6" s="2">
        <v>12005</v>
      </c>
      <c r="B6" s="8" t="s">
        <v>373</v>
      </c>
      <c r="C6" s="8" t="s">
        <v>412</v>
      </c>
      <c r="D6" s="8" t="s">
        <v>25</v>
      </c>
      <c r="E6" s="9">
        <v>253</v>
      </c>
      <c r="F6" s="15">
        <f>33241592/10^6</f>
        <v>33.241591999999997</v>
      </c>
      <c r="G6" s="18">
        <v>33.72</v>
      </c>
      <c r="H6" s="26">
        <v>32.950000000000003</v>
      </c>
      <c r="I6" s="17">
        <f>31291061/10^6</f>
        <v>31.291060999999999</v>
      </c>
      <c r="J6" s="30">
        <f>30601390/10^6</f>
        <v>30.601389999999999</v>
      </c>
    </row>
    <row r="7" spans="1:10" s="6" customFormat="1">
      <c r="A7" s="2">
        <v>12006</v>
      </c>
      <c r="B7" s="8" t="s">
        <v>167</v>
      </c>
      <c r="C7" s="8" t="s">
        <v>244</v>
      </c>
      <c r="D7" s="8" t="s">
        <v>19</v>
      </c>
      <c r="E7" s="9">
        <v>5.25</v>
      </c>
      <c r="F7" s="11">
        <v>0.02</v>
      </c>
      <c r="G7" s="18">
        <v>0.02</v>
      </c>
      <c r="H7" s="26">
        <v>0.02</v>
      </c>
      <c r="I7" s="24">
        <v>0.02</v>
      </c>
      <c r="J7" s="30">
        <v>0.02</v>
      </c>
    </row>
    <row r="8" spans="1:10" s="6" customFormat="1">
      <c r="A8" s="2">
        <v>12007</v>
      </c>
      <c r="B8" s="8" t="s">
        <v>118</v>
      </c>
      <c r="C8" s="8" t="s">
        <v>118</v>
      </c>
      <c r="D8" s="8" t="s">
        <v>781</v>
      </c>
      <c r="E8" s="9">
        <v>13.43</v>
      </c>
      <c r="F8" s="11">
        <v>1.72</v>
      </c>
      <c r="G8" s="18">
        <v>1.57</v>
      </c>
      <c r="H8" s="26">
        <v>1.78</v>
      </c>
      <c r="I8" s="25">
        <v>1.58</v>
      </c>
      <c r="J8" s="30">
        <v>1.35</v>
      </c>
    </row>
    <row r="9" spans="1:10" s="6" customFormat="1">
      <c r="A9" s="2">
        <v>12008</v>
      </c>
      <c r="B9" s="8" t="s">
        <v>119</v>
      </c>
      <c r="C9" s="8" t="s">
        <v>120</v>
      </c>
      <c r="D9" s="8" t="s">
        <v>780</v>
      </c>
      <c r="E9" s="9">
        <v>6.46</v>
      </c>
      <c r="F9" s="11">
        <v>4.63</v>
      </c>
      <c r="G9" s="18">
        <v>4.2300000000000004</v>
      </c>
      <c r="H9" s="26">
        <v>4</v>
      </c>
      <c r="I9" s="24">
        <v>3.76</v>
      </c>
      <c r="J9" s="31">
        <v>2.88</v>
      </c>
    </row>
    <row r="10" spans="1:10" s="6" customFormat="1">
      <c r="A10" s="2">
        <v>12009</v>
      </c>
      <c r="B10" s="8" t="s">
        <v>713</v>
      </c>
      <c r="C10" s="8" t="s">
        <v>756</v>
      </c>
      <c r="D10" s="8" t="s">
        <v>777</v>
      </c>
      <c r="E10" s="9">
        <v>2.2799999999999998</v>
      </c>
      <c r="F10" s="11">
        <v>2.23</v>
      </c>
      <c r="G10" s="18">
        <v>2.33</v>
      </c>
      <c r="H10" s="26">
        <v>2.29</v>
      </c>
      <c r="I10" s="24">
        <v>2.29</v>
      </c>
      <c r="J10" s="31">
        <v>2.27</v>
      </c>
    </row>
    <row r="11" spans="1:10" s="6" customFormat="1">
      <c r="A11" s="2">
        <v>12010</v>
      </c>
      <c r="B11" s="8" t="s">
        <v>661</v>
      </c>
      <c r="C11" s="8" t="s">
        <v>718</v>
      </c>
      <c r="D11" s="8" t="s">
        <v>56</v>
      </c>
      <c r="E11" s="9">
        <v>1.06</v>
      </c>
      <c r="F11" s="11">
        <v>0.03</v>
      </c>
      <c r="G11" s="18">
        <v>0.03</v>
      </c>
      <c r="H11" s="26">
        <v>0.03</v>
      </c>
      <c r="I11" s="25">
        <v>0.01</v>
      </c>
      <c r="J11" s="31">
        <v>0.01</v>
      </c>
    </row>
    <row r="12" spans="1:10" s="6" customFormat="1">
      <c r="A12" s="7">
        <v>12011</v>
      </c>
      <c r="B12" s="8" t="s">
        <v>370</v>
      </c>
      <c r="C12" s="8" t="s">
        <v>413</v>
      </c>
      <c r="D12" s="8" t="s">
        <v>11</v>
      </c>
      <c r="E12" s="9">
        <v>1.83</v>
      </c>
      <c r="F12" s="15">
        <f>152084/10^6</f>
        <v>0.152084</v>
      </c>
      <c r="G12" s="18">
        <f>156580/10^6</f>
        <v>0.15658</v>
      </c>
      <c r="H12" s="26">
        <f>132976/10^6</f>
        <v>0.13297600000000001</v>
      </c>
      <c r="I12" s="25">
        <f>340329/10^6</f>
        <v>0.34032899999999999</v>
      </c>
      <c r="J12" s="31">
        <v>0.34</v>
      </c>
    </row>
    <row r="13" spans="1:10" s="6" customFormat="1">
      <c r="A13" s="2">
        <v>12012</v>
      </c>
      <c r="B13" s="8" t="s">
        <v>568</v>
      </c>
      <c r="C13" s="8" t="s">
        <v>785</v>
      </c>
      <c r="D13" s="8" t="s">
        <v>24</v>
      </c>
      <c r="E13" s="9">
        <v>7.24</v>
      </c>
      <c r="F13" s="11">
        <v>0.8</v>
      </c>
      <c r="G13" s="18">
        <v>0.7</v>
      </c>
      <c r="H13" s="26">
        <v>0.7</v>
      </c>
      <c r="I13" s="25">
        <v>0.7</v>
      </c>
      <c r="J13" s="21">
        <v>3.4</v>
      </c>
    </row>
    <row r="14" spans="1:10" s="6" customFormat="1">
      <c r="A14" s="2">
        <v>12013</v>
      </c>
      <c r="B14" s="8" t="s">
        <v>91</v>
      </c>
      <c r="C14" s="8" t="s">
        <v>92</v>
      </c>
      <c r="D14" s="8" t="s">
        <v>54</v>
      </c>
      <c r="E14" s="9">
        <v>7</v>
      </c>
      <c r="F14" s="11">
        <v>0</v>
      </c>
      <c r="G14" s="18">
        <v>0</v>
      </c>
      <c r="H14" s="26">
        <v>0</v>
      </c>
      <c r="I14" s="24">
        <v>0</v>
      </c>
      <c r="J14" s="30">
        <v>0</v>
      </c>
    </row>
    <row r="15" spans="1:10" s="6" customFormat="1" ht="15.75" thickBot="1">
      <c r="A15" s="2">
        <v>12014</v>
      </c>
      <c r="B15" s="8" t="s">
        <v>685</v>
      </c>
      <c r="C15" s="8" t="s">
        <v>719</v>
      </c>
      <c r="D15" s="8" t="s">
        <v>27</v>
      </c>
      <c r="E15" s="9">
        <v>1.03</v>
      </c>
      <c r="F15" s="15">
        <f>225/10^6</f>
        <v>2.2499999999999999E-4</v>
      </c>
      <c r="G15" s="18">
        <v>0</v>
      </c>
      <c r="H15" s="26">
        <v>0</v>
      </c>
      <c r="I15" s="24">
        <f>225/10^6</f>
        <v>2.2499999999999999E-4</v>
      </c>
      <c r="J15" s="30">
        <v>0</v>
      </c>
    </row>
    <row r="16" spans="1:10" ht="15.75" thickBot="1">
      <c r="A16" s="2">
        <v>12015</v>
      </c>
      <c r="B16" s="8" t="s">
        <v>660</v>
      </c>
      <c r="C16" s="8" t="s">
        <v>664</v>
      </c>
      <c r="D16" s="8" t="s">
        <v>5</v>
      </c>
      <c r="E16" s="9">
        <v>1.86</v>
      </c>
      <c r="F16" s="10">
        <v>1.34</v>
      </c>
      <c r="G16" s="18">
        <v>1.34</v>
      </c>
      <c r="H16" s="26">
        <v>1.34</v>
      </c>
      <c r="I16" s="24">
        <v>1.79</v>
      </c>
      <c r="J16" s="30">
        <v>1.79</v>
      </c>
    </row>
    <row r="17" spans="1:10" ht="15.75" thickBot="1">
      <c r="A17" s="2">
        <v>12016</v>
      </c>
      <c r="B17" s="8" t="s">
        <v>499</v>
      </c>
      <c r="C17" s="8" t="s">
        <v>513</v>
      </c>
      <c r="D17" s="8" t="s">
        <v>45</v>
      </c>
      <c r="E17" s="9">
        <v>54.48</v>
      </c>
      <c r="F17" s="10">
        <v>7.34</v>
      </c>
      <c r="G17" s="18">
        <v>0.44</v>
      </c>
      <c r="H17" s="26">
        <v>0.44</v>
      </c>
      <c r="I17" s="24">
        <v>0.74</v>
      </c>
      <c r="J17" s="30">
        <v>0.74</v>
      </c>
    </row>
    <row r="18" spans="1:10" ht="15.75" thickBot="1">
      <c r="A18" s="2">
        <v>12018</v>
      </c>
      <c r="B18" s="8" t="s">
        <v>559</v>
      </c>
      <c r="C18" s="8" t="s">
        <v>573</v>
      </c>
      <c r="D18" s="8" t="s">
        <v>50</v>
      </c>
      <c r="E18" s="9">
        <v>247</v>
      </c>
      <c r="F18" s="10">
        <v>35</v>
      </c>
      <c r="G18" s="18">
        <v>25</v>
      </c>
      <c r="H18" s="26">
        <v>25</v>
      </c>
      <c r="I18" s="24">
        <v>25</v>
      </c>
      <c r="J18" s="21">
        <v>52</v>
      </c>
    </row>
    <row r="19" spans="1:10" ht="15.75" thickBot="1">
      <c r="A19" s="2">
        <v>12019</v>
      </c>
      <c r="B19" s="8" t="s">
        <v>168</v>
      </c>
      <c r="C19" s="8" t="s">
        <v>245</v>
      </c>
      <c r="D19" s="8" t="s">
        <v>13</v>
      </c>
      <c r="E19" s="9">
        <v>11.01</v>
      </c>
      <c r="F19" s="10">
        <v>0.53</v>
      </c>
      <c r="G19" s="18">
        <v>0.56999999999999995</v>
      </c>
      <c r="H19" s="26">
        <v>0.53</v>
      </c>
      <c r="I19" s="24">
        <v>0.51</v>
      </c>
      <c r="J19" s="30">
        <v>0.71</v>
      </c>
    </row>
    <row r="20" spans="1:10" ht="15.75" thickBot="1">
      <c r="A20" s="2">
        <v>12020</v>
      </c>
      <c r="B20" s="8" t="s">
        <v>121</v>
      </c>
      <c r="C20" s="8" t="s">
        <v>122</v>
      </c>
      <c r="D20" s="8" t="s">
        <v>139</v>
      </c>
      <c r="E20" s="9">
        <v>255.63</v>
      </c>
      <c r="F20" s="10">
        <v>18.55</v>
      </c>
      <c r="G20" s="18">
        <v>259.42</v>
      </c>
      <c r="H20" s="26">
        <v>255.21</v>
      </c>
      <c r="I20" s="25">
        <v>250.61</v>
      </c>
      <c r="J20" s="31">
        <v>242.05</v>
      </c>
    </row>
    <row r="21" spans="1:10" ht="15.75" thickBot="1">
      <c r="A21" s="2">
        <v>12022</v>
      </c>
      <c r="B21" s="8" t="s">
        <v>123</v>
      </c>
      <c r="C21" s="8" t="s">
        <v>124</v>
      </c>
      <c r="D21" s="8" t="s">
        <v>777</v>
      </c>
      <c r="E21" s="9">
        <v>13.68</v>
      </c>
      <c r="F21" s="10">
        <v>2.08</v>
      </c>
      <c r="G21" s="18">
        <v>14.01</v>
      </c>
      <c r="H21" s="26">
        <v>13.51</v>
      </c>
      <c r="I21" s="25">
        <v>12.94</v>
      </c>
      <c r="J21" s="31">
        <v>12.54</v>
      </c>
    </row>
    <row r="22" spans="1:10" ht="15.75" thickBot="1">
      <c r="A22" s="2">
        <v>12023</v>
      </c>
      <c r="B22" s="8" t="s">
        <v>169</v>
      </c>
      <c r="C22" s="8" t="s">
        <v>246</v>
      </c>
      <c r="D22" s="8" t="s">
        <v>12</v>
      </c>
      <c r="E22" s="9">
        <v>56.05</v>
      </c>
      <c r="F22" s="10">
        <v>1.53</v>
      </c>
      <c r="G22" s="18">
        <v>6.34</v>
      </c>
      <c r="H22" s="26">
        <v>6.59</v>
      </c>
      <c r="I22" s="25">
        <v>15.34</v>
      </c>
      <c r="J22" s="30">
        <v>22.05</v>
      </c>
    </row>
    <row r="23" spans="1:10" ht="15.75" thickBot="1">
      <c r="A23" s="6">
        <v>2067</v>
      </c>
      <c r="B23" s="8" t="s">
        <v>93</v>
      </c>
      <c r="C23" s="8" t="s">
        <v>94</v>
      </c>
      <c r="D23" s="8" t="s">
        <v>95</v>
      </c>
      <c r="E23" s="9">
        <v>10</v>
      </c>
      <c r="F23" s="12">
        <v>0</v>
      </c>
      <c r="G23" s="3">
        <v>0</v>
      </c>
      <c r="H23" s="3">
        <v>0</v>
      </c>
      <c r="I23" s="16">
        <v>0</v>
      </c>
      <c r="J23" s="22">
        <v>0</v>
      </c>
    </row>
    <row r="24" spans="1:10" ht="15.75" thickBot="1">
      <c r="A24" s="2">
        <v>12024</v>
      </c>
      <c r="B24" s="8" t="s">
        <v>125</v>
      </c>
      <c r="C24" s="8" t="s">
        <v>126</v>
      </c>
      <c r="D24" s="8" t="s">
        <v>778</v>
      </c>
      <c r="E24" s="9">
        <v>108.69</v>
      </c>
      <c r="F24" s="10">
        <v>25.92</v>
      </c>
      <c r="G24" s="18">
        <v>42.97</v>
      </c>
      <c r="H24" s="26">
        <v>45.09</v>
      </c>
      <c r="I24" s="24">
        <v>43.4</v>
      </c>
      <c r="J24" s="30">
        <v>36.51</v>
      </c>
    </row>
    <row r="25" spans="1:10" ht="15.75" thickBot="1">
      <c r="A25" s="2">
        <v>12026</v>
      </c>
      <c r="B25" s="8" t="s">
        <v>127</v>
      </c>
      <c r="C25" s="8" t="s">
        <v>127</v>
      </c>
      <c r="D25" s="8" t="s">
        <v>777</v>
      </c>
      <c r="E25" s="9">
        <v>65.84</v>
      </c>
      <c r="F25" s="10">
        <v>8.7799999999999994</v>
      </c>
      <c r="G25" s="18">
        <v>44.55</v>
      </c>
      <c r="H25" s="26">
        <v>44.07</v>
      </c>
      <c r="I25" s="25">
        <v>43.26</v>
      </c>
      <c r="J25" s="31">
        <v>40.85</v>
      </c>
    </row>
    <row r="26" spans="1:10" ht="15.75" thickBot="1">
      <c r="A26" s="2">
        <v>12027</v>
      </c>
      <c r="B26" s="8" t="s">
        <v>170</v>
      </c>
      <c r="C26" s="8" t="s">
        <v>170</v>
      </c>
      <c r="D26" s="8" t="s">
        <v>13</v>
      </c>
      <c r="E26" s="9">
        <v>170.7</v>
      </c>
      <c r="F26" s="10">
        <v>34.72</v>
      </c>
      <c r="G26" s="18">
        <v>34.200000000000003</v>
      </c>
      <c r="H26" s="26">
        <v>33</v>
      </c>
      <c r="I26" s="24">
        <v>30.86</v>
      </c>
      <c r="J26" s="30">
        <v>27.16</v>
      </c>
    </row>
    <row r="27" spans="1:10" ht="15.75" thickBot="1">
      <c r="A27" s="2">
        <v>12028</v>
      </c>
      <c r="B27" s="8" t="s">
        <v>100</v>
      </c>
      <c r="C27" s="8" t="s">
        <v>100</v>
      </c>
      <c r="D27" s="8" t="s">
        <v>6</v>
      </c>
      <c r="E27" s="9">
        <v>4.13</v>
      </c>
      <c r="F27" s="10">
        <v>3.3</v>
      </c>
      <c r="G27" s="18">
        <v>3.3</v>
      </c>
      <c r="H27" s="26">
        <v>3.3</v>
      </c>
      <c r="I27" s="25">
        <v>3.3</v>
      </c>
      <c r="J27" s="30">
        <v>3.3</v>
      </c>
    </row>
    <row r="28" spans="1:10" ht="15.75" thickBot="1">
      <c r="A28" s="2">
        <v>12029</v>
      </c>
      <c r="B28" s="8" t="s">
        <v>695</v>
      </c>
      <c r="C28" s="8" t="s">
        <v>733</v>
      </c>
      <c r="D28" s="8" t="s">
        <v>55</v>
      </c>
      <c r="E28" s="9">
        <v>4.3</v>
      </c>
      <c r="F28" s="10">
        <v>0</v>
      </c>
      <c r="G28" s="18">
        <v>0</v>
      </c>
      <c r="H28" s="26">
        <v>0</v>
      </c>
      <c r="I28" s="24">
        <v>0</v>
      </c>
      <c r="J28" s="31">
        <v>0</v>
      </c>
    </row>
    <row r="29" spans="1:10" ht="15.75" thickBot="1">
      <c r="A29" s="2">
        <v>12030</v>
      </c>
      <c r="B29" s="8" t="s">
        <v>171</v>
      </c>
      <c r="C29" s="8" t="s">
        <v>247</v>
      </c>
      <c r="D29" s="8" t="s">
        <v>21</v>
      </c>
      <c r="E29" s="9">
        <v>891</v>
      </c>
      <c r="F29" s="10">
        <v>56.01</v>
      </c>
      <c r="G29" s="18">
        <v>55.65</v>
      </c>
      <c r="H29" s="26">
        <v>53.09</v>
      </c>
      <c r="I29" s="24">
        <v>33.14</v>
      </c>
      <c r="J29" s="30">
        <v>47.11</v>
      </c>
    </row>
    <row r="30" spans="1:10" ht="15.75" thickBot="1">
      <c r="A30" s="2">
        <v>12031</v>
      </c>
      <c r="B30" s="8" t="s">
        <v>486</v>
      </c>
      <c r="C30" s="8" t="s">
        <v>515</v>
      </c>
      <c r="D30" s="8" t="s">
        <v>45</v>
      </c>
      <c r="E30" s="9">
        <v>3.7</v>
      </c>
      <c r="F30" s="10">
        <v>0</v>
      </c>
      <c r="G30" s="18">
        <v>0</v>
      </c>
      <c r="H30" s="26">
        <v>0</v>
      </c>
      <c r="I30" s="25">
        <v>0</v>
      </c>
      <c r="J30" s="30">
        <v>0</v>
      </c>
    </row>
    <row r="31" spans="1:10" ht="15.75" thickBot="1">
      <c r="A31" s="2">
        <v>12032</v>
      </c>
      <c r="B31" s="8" t="s">
        <v>146</v>
      </c>
      <c r="C31" s="8" t="s">
        <v>516</v>
      </c>
      <c r="D31" s="8" t="s">
        <v>42</v>
      </c>
      <c r="E31" s="9">
        <v>16.8</v>
      </c>
      <c r="F31" s="10">
        <v>0.03</v>
      </c>
      <c r="G31" s="18">
        <v>0.03</v>
      </c>
      <c r="H31" s="26">
        <v>0.16</v>
      </c>
      <c r="I31" s="25">
        <v>0.16</v>
      </c>
      <c r="J31" s="30">
        <v>0.16</v>
      </c>
    </row>
    <row r="32" spans="1:10" ht="15.75" thickBot="1">
      <c r="A32" s="2">
        <v>12033</v>
      </c>
      <c r="B32" s="8" t="s">
        <v>172</v>
      </c>
      <c r="C32" s="8" t="s">
        <v>248</v>
      </c>
      <c r="D32" s="8" t="s">
        <v>15</v>
      </c>
      <c r="E32" s="9">
        <v>197.06</v>
      </c>
      <c r="F32" s="10">
        <v>4.76</v>
      </c>
      <c r="G32" s="18">
        <v>50.12</v>
      </c>
      <c r="H32" s="26">
        <v>47.97</v>
      </c>
      <c r="I32" s="24">
        <v>53.92</v>
      </c>
      <c r="J32" s="31">
        <v>52.85</v>
      </c>
    </row>
    <row r="33" spans="1:10" ht="15.75" thickBot="1">
      <c r="A33" s="2">
        <v>12034</v>
      </c>
      <c r="B33" s="8" t="s">
        <v>173</v>
      </c>
      <c r="C33" s="8" t="s">
        <v>249</v>
      </c>
      <c r="D33" s="8" t="s">
        <v>21</v>
      </c>
      <c r="E33" s="9">
        <v>19.600000000000001</v>
      </c>
      <c r="F33" s="10">
        <v>1.24</v>
      </c>
      <c r="G33" s="18">
        <v>1.33</v>
      </c>
      <c r="H33" s="26">
        <v>1.2</v>
      </c>
      <c r="I33" s="24">
        <v>1.21</v>
      </c>
      <c r="J33" s="30">
        <v>1.92</v>
      </c>
    </row>
    <row r="34" spans="1:10">
      <c r="A34" s="2">
        <v>12496</v>
      </c>
      <c r="B34" s="8" t="s">
        <v>503</v>
      </c>
      <c r="C34" s="8" t="s">
        <v>47</v>
      </c>
      <c r="D34" s="8" t="s">
        <v>38</v>
      </c>
      <c r="E34" s="9">
        <v>14.52</v>
      </c>
      <c r="F34" s="10">
        <v>0</v>
      </c>
      <c r="G34" s="18">
        <v>0</v>
      </c>
      <c r="H34" s="26">
        <v>0</v>
      </c>
      <c r="I34" s="24">
        <v>0</v>
      </c>
      <c r="J34" s="30">
        <v>0</v>
      </c>
    </row>
    <row r="35" spans="1:10" ht="15.75" thickBot="1">
      <c r="A35" s="7">
        <v>12035</v>
      </c>
      <c r="B35" s="8" t="s">
        <v>410</v>
      </c>
      <c r="C35" s="8" t="s">
        <v>414</v>
      </c>
      <c r="D35" s="8" t="s">
        <v>36</v>
      </c>
      <c r="E35" s="9">
        <v>3.6</v>
      </c>
      <c r="F35" s="15">
        <f>257006/10^6</f>
        <v>0.25700600000000001</v>
      </c>
      <c r="G35" s="18">
        <v>0.12</v>
      </c>
      <c r="H35" s="26">
        <v>0.12</v>
      </c>
      <c r="I35" s="24">
        <f>91134/10^6</f>
        <v>9.1134000000000007E-2</v>
      </c>
      <c r="J35" s="30">
        <v>7.0000000000000007E-2</v>
      </c>
    </row>
    <row r="36" spans="1:10" ht="15.75" thickBot="1">
      <c r="A36" s="2">
        <v>12036</v>
      </c>
      <c r="B36" s="8" t="s">
        <v>174</v>
      </c>
      <c r="C36" s="8" t="s">
        <v>250</v>
      </c>
      <c r="D36" s="8" t="s">
        <v>16</v>
      </c>
      <c r="E36" s="9">
        <v>108.25</v>
      </c>
      <c r="F36" s="10">
        <v>2.92</v>
      </c>
      <c r="G36" s="18">
        <v>3.56</v>
      </c>
      <c r="H36" s="26">
        <v>3.68</v>
      </c>
      <c r="I36" s="25">
        <v>3.98</v>
      </c>
      <c r="J36" s="31">
        <v>3.81</v>
      </c>
    </row>
    <row r="37" spans="1:10">
      <c r="A37" s="2">
        <v>12037</v>
      </c>
      <c r="B37" s="8" t="s">
        <v>175</v>
      </c>
      <c r="C37" s="8" t="s">
        <v>251</v>
      </c>
      <c r="D37" s="8" t="s">
        <v>21</v>
      </c>
      <c r="E37" s="9">
        <v>96.8</v>
      </c>
      <c r="F37" s="10">
        <v>15.56</v>
      </c>
      <c r="G37" s="18">
        <v>15.09</v>
      </c>
      <c r="H37" s="26">
        <v>13.53</v>
      </c>
      <c r="I37" s="25">
        <v>16.95</v>
      </c>
      <c r="J37" s="31">
        <v>17.920000000000002</v>
      </c>
    </row>
    <row r="38" spans="1:10" ht="15.75" thickBot="1">
      <c r="A38" s="2">
        <v>12038</v>
      </c>
      <c r="B38" s="8" t="s">
        <v>394</v>
      </c>
      <c r="C38" s="8" t="s">
        <v>415</v>
      </c>
      <c r="D38" s="8" t="s">
        <v>34</v>
      </c>
      <c r="E38" s="9">
        <v>39.229999999999997</v>
      </c>
      <c r="F38" s="15">
        <f>4558321/10^6</f>
        <v>4.5583210000000003</v>
      </c>
      <c r="G38" s="18">
        <v>4.5599999999999996</v>
      </c>
      <c r="H38" s="26">
        <v>3.44</v>
      </c>
      <c r="I38" s="24">
        <v>6.01</v>
      </c>
      <c r="J38" s="31">
        <v>6.01</v>
      </c>
    </row>
    <row r="39" spans="1:10" ht="15.75" thickBot="1">
      <c r="A39" s="2">
        <v>12039</v>
      </c>
      <c r="B39" s="8" t="s">
        <v>176</v>
      </c>
      <c r="C39" s="8" t="s">
        <v>176</v>
      </c>
      <c r="D39" s="8" t="s">
        <v>18</v>
      </c>
      <c r="E39" s="9">
        <v>1601</v>
      </c>
      <c r="F39" s="10">
        <v>8.35</v>
      </c>
      <c r="G39" s="18">
        <v>8.35</v>
      </c>
      <c r="H39" s="26">
        <v>7.72</v>
      </c>
      <c r="I39" s="25">
        <v>8.3800000000000008</v>
      </c>
      <c r="J39" s="30">
        <v>13.73</v>
      </c>
    </row>
    <row r="40" spans="1:10" ht="15.75" thickBot="1">
      <c r="A40" s="4">
        <v>12040</v>
      </c>
      <c r="B40" s="8" t="s">
        <v>764</v>
      </c>
      <c r="C40" s="8" t="s">
        <v>759</v>
      </c>
      <c r="D40" s="8" t="s">
        <v>778</v>
      </c>
      <c r="E40" s="9">
        <v>111.59</v>
      </c>
      <c r="F40" s="10">
        <v>98.67</v>
      </c>
      <c r="G40" s="18">
        <v>135.13</v>
      </c>
      <c r="H40" s="26">
        <v>113.03</v>
      </c>
      <c r="I40" s="24">
        <v>112.82</v>
      </c>
      <c r="J40" s="30">
        <v>104.83</v>
      </c>
    </row>
    <row r="41" spans="1:10" ht="15.75" thickBot="1">
      <c r="A41" s="2">
        <v>12041</v>
      </c>
      <c r="B41" s="8" t="s">
        <v>505</v>
      </c>
      <c r="C41" s="8" t="s">
        <v>517</v>
      </c>
      <c r="D41" s="8" t="s">
        <v>43</v>
      </c>
      <c r="E41" s="9">
        <v>2.74</v>
      </c>
      <c r="F41" s="10">
        <v>0</v>
      </c>
      <c r="G41" s="18">
        <v>0</v>
      </c>
      <c r="H41" s="26">
        <v>0</v>
      </c>
      <c r="I41" s="25">
        <v>0</v>
      </c>
      <c r="J41" s="31">
        <v>0</v>
      </c>
    </row>
    <row r="42" spans="1:10" ht="15.75" thickBot="1">
      <c r="A42" s="6">
        <v>1041</v>
      </c>
      <c r="B42" s="8" t="s">
        <v>73</v>
      </c>
      <c r="C42" s="8" t="s">
        <v>74</v>
      </c>
      <c r="D42" s="8" t="s">
        <v>75</v>
      </c>
      <c r="E42" s="9">
        <v>1.37</v>
      </c>
      <c r="F42" s="10" t="s">
        <v>684</v>
      </c>
      <c r="G42" s="3" t="s">
        <v>684</v>
      </c>
      <c r="H42" s="3" t="s">
        <v>684</v>
      </c>
      <c r="I42" s="17">
        <v>0</v>
      </c>
      <c r="J42" s="21">
        <v>0</v>
      </c>
    </row>
    <row r="43" spans="1:10" ht="15.75" thickBot="1">
      <c r="A43" s="2">
        <v>12042</v>
      </c>
      <c r="B43" s="8" t="s">
        <v>82</v>
      </c>
      <c r="C43" s="8" t="s">
        <v>518</v>
      </c>
      <c r="D43" s="8" t="s">
        <v>38</v>
      </c>
      <c r="E43" s="9">
        <v>71.47</v>
      </c>
      <c r="F43" s="10">
        <v>0</v>
      </c>
      <c r="G43" s="18">
        <v>0</v>
      </c>
      <c r="H43" s="26">
        <v>0</v>
      </c>
      <c r="I43" s="25">
        <v>0</v>
      </c>
      <c r="J43" s="30">
        <v>1.1100000000000001</v>
      </c>
    </row>
    <row r="44" spans="1:10" ht="15.75" thickBot="1">
      <c r="A44" s="2">
        <v>12043</v>
      </c>
      <c r="B44" s="8" t="s">
        <v>177</v>
      </c>
      <c r="C44" s="8" t="s">
        <v>252</v>
      </c>
      <c r="D44" s="8" t="s">
        <v>10</v>
      </c>
      <c r="E44" s="9">
        <v>99.5</v>
      </c>
      <c r="F44" s="10">
        <v>0.01</v>
      </c>
      <c r="G44" s="18">
        <v>0.01</v>
      </c>
      <c r="H44" s="26">
        <v>0.01</v>
      </c>
      <c r="I44" s="25">
        <v>0.01</v>
      </c>
      <c r="J44" s="31">
        <v>0.01</v>
      </c>
    </row>
    <row r="45" spans="1:10" ht="15.75" thickBot="1">
      <c r="A45" s="2">
        <v>12044</v>
      </c>
      <c r="B45" s="8" t="s">
        <v>562</v>
      </c>
      <c r="C45" s="8" t="s">
        <v>576</v>
      </c>
      <c r="D45" s="8" t="s">
        <v>24</v>
      </c>
      <c r="E45" s="9">
        <v>52.8</v>
      </c>
      <c r="F45" s="10">
        <v>3.25</v>
      </c>
      <c r="G45" s="18">
        <v>2.88</v>
      </c>
      <c r="H45" s="26">
        <v>2.88</v>
      </c>
      <c r="I45" s="25">
        <v>2.88</v>
      </c>
      <c r="J45" s="22">
        <v>2.97</v>
      </c>
    </row>
    <row r="46" spans="1:10">
      <c r="A46" s="2">
        <v>12045</v>
      </c>
      <c r="B46" s="8" t="s">
        <v>225</v>
      </c>
      <c r="C46" s="8" t="s">
        <v>784</v>
      </c>
      <c r="D46" s="8" t="s">
        <v>45</v>
      </c>
      <c r="E46" s="9">
        <v>1.96</v>
      </c>
      <c r="F46" s="10">
        <v>0</v>
      </c>
      <c r="G46" s="18">
        <v>0</v>
      </c>
      <c r="H46" s="26">
        <v>0</v>
      </c>
      <c r="I46" s="24">
        <v>0</v>
      </c>
      <c r="J46" s="30">
        <v>0</v>
      </c>
    </row>
    <row r="47" spans="1:10">
      <c r="A47" s="2">
        <v>12046</v>
      </c>
      <c r="B47" s="8" t="s">
        <v>352</v>
      </c>
      <c r="C47" s="8" t="s">
        <v>416</v>
      </c>
      <c r="D47" s="8" t="s">
        <v>33</v>
      </c>
      <c r="E47" s="9">
        <v>17.57</v>
      </c>
      <c r="F47" s="15">
        <f>2554194/10^6</f>
        <v>2.5541939999999999</v>
      </c>
      <c r="G47" s="18">
        <v>2.4900000000000002</v>
      </c>
      <c r="H47" s="26">
        <v>2.27</v>
      </c>
      <c r="I47" s="24">
        <f>2120972/10^6</f>
        <v>2.1209720000000001</v>
      </c>
      <c r="J47" s="30">
        <v>2.06</v>
      </c>
    </row>
    <row r="48" spans="1:10" ht="15.75" thickBot="1">
      <c r="A48" s="2">
        <v>12047</v>
      </c>
      <c r="B48" s="8" t="s">
        <v>409</v>
      </c>
      <c r="C48" s="8" t="s">
        <v>732</v>
      </c>
      <c r="D48" s="8" t="s">
        <v>31</v>
      </c>
      <c r="E48" s="9">
        <v>1.27</v>
      </c>
      <c r="F48" s="15">
        <f>3950/10^6</f>
        <v>3.9500000000000004E-3</v>
      </c>
      <c r="G48" s="18">
        <v>0</v>
      </c>
      <c r="H48" s="26">
        <v>0</v>
      </c>
      <c r="I48" s="25">
        <v>0</v>
      </c>
      <c r="J48" s="31">
        <v>0</v>
      </c>
    </row>
    <row r="49" spans="1:10" ht="15.75" thickBot="1">
      <c r="A49" s="2">
        <v>12048</v>
      </c>
      <c r="B49" s="8" t="s">
        <v>178</v>
      </c>
      <c r="C49" s="8" t="s">
        <v>253</v>
      </c>
      <c r="D49" s="8" t="s">
        <v>13</v>
      </c>
      <c r="E49" s="9">
        <v>33.51</v>
      </c>
      <c r="F49" s="10">
        <v>3.11</v>
      </c>
      <c r="G49" s="18">
        <v>3.27</v>
      </c>
      <c r="H49" s="26">
        <v>2.94</v>
      </c>
      <c r="I49" s="24">
        <v>2.67</v>
      </c>
      <c r="J49" s="30">
        <v>3.07</v>
      </c>
    </row>
    <row r="50" spans="1:10" ht="15.75" thickBot="1">
      <c r="A50" s="2">
        <v>12049</v>
      </c>
      <c r="B50" s="8" t="s">
        <v>602</v>
      </c>
      <c r="C50" s="8" t="s">
        <v>619</v>
      </c>
      <c r="D50" s="8" t="s">
        <v>54</v>
      </c>
      <c r="E50" s="9">
        <v>8.06</v>
      </c>
      <c r="F50" s="10">
        <v>1.45</v>
      </c>
      <c r="G50" s="18">
        <v>2.4700000000000002</v>
      </c>
      <c r="H50" s="26">
        <v>2.4700000000000002</v>
      </c>
      <c r="I50" s="24">
        <v>2.39</v>
      </c>
      <c r="J50" s="30">
        <v>1.92</v>
      </c>
    </row>
    <row r="51" spans="1:10" ht="15.75" thickBot="1">
      <c r="A51" s="2">
        <v>12050</v>
      </c>
      <c r="B51" s="8" t="s">
        <v>488</v>
      </c>
      <c r="C51" s="8" t="s">
        <v>519</v>
      </c>
      <c r="D51" s="8" t="s">
        <v>41</v>
      </c>
      <c r="E51" s="9">
        <v>30.74</v>
      </c>
      <c r="F51" s="10">
        <v>1.24</v>
      </c>
      <c r="G51" s="18">
        <v>0.9</v>
      </c>
      <c r="H51" s="26">
        <v>0.24</v>
      </c>
      <c r="I51" s="25">
        <v>0.14000000000000001</v>
      </c>
      <c r="J51" s="30">
        <v>0</v>
      </c>
    </row>
    <row r="52" spans="1:10">
      <c r="A52" s="2">
        <v>12052</v>
      </c>
      <c r="B52" s="8" t="s">
        <v>179</v>
      </c>
      <c r="C52" s="8" t="s">
        <v>254</v>
      </c>
      <c r="D52" s="8" t="s">
        <v>15</v>
      </c>
      <c r="E52" s="9">
        <v>19.559999999999999</v>
      </c>
      <c r="F52" s="10">
        <v>3.39</v>
      </c>
      <c r="G52" s="18">
        <v>5.45</v>
      </c>
      <c r="H52" s="26">
        <v>5.19</v>
      </c>
      <c r="I52" s="24">
        <v>5.0999999999999996</v>
      </c>
      <c r="J52" s="30">
        <v>4.8899999999999997</v>
      </c>
    </row>
    <row r="53" spans="1:10" ht="15.75" thickBot="1">
      <c r="A53" s="2">
        <v>12053</v>
      </c>
      <c r="B53" s="8" t="s">
        <v>349</v>
      </c>
      <c r="C53" s="8" t="s">
        <v>417</v>
      </c>
      <c r="D53" s="8" t="s">
        <v>14</v>
      </c>
      <c r="E53" s="9">
        <v>4.57</v>
      </c>
      <c r="F53" s="15">
        <f>2494/10^6</f>
        <v>2.4940000000000001E-3</v>
      </c>
      <c r="G53" s="18">
        <v>0</v>
      </c>
      <c r="H53" s="26">
        <v>0.19</v>
      </c>
      <c r="I53" s="25">
        <f>94372/10^6</f>
        <v>9.4371999999999998E-2</v>
      </c>
      <c r="J53" s="31">
        <f>38706/10^6</f>
        <v>3.8705999999999997E-2</v>
      </c>
    </row>
    <row r="54" spans="1:10" ht="15.75" thickBot="1">
      <c r="A54" s="2">
        <v>12054</v>
      </c>
      <c r="B54" s="8" t="s">
        <v>345</v>
      </c>
      <c r="C54" s="8" t="s">
        <v>346</v>
      </c>
      <c r="D54" s="8" t="s">
        <v>26</v>
      </c>
      <c r="E54" s="9">
        <v>750</v>
      </c>
      <c r="F54" s="10">
        <v>116.84</v>
      </c>
      <c r="G54" s="18">
        <v>94.61</v>
      </c>
      <c r="H54" s="26">
        <v>94.61</v>
      </c>
      <c r="I54" s="25">
        <v>94.61</v>
      </c>
      <c r="J54" s="30">
        <v>94.61</v>
      </c>
    </row>
    <row r="55" spans="1:10" ht="15.75" thickBot="1">
      <c r="A55" s="2">
        <v>12056</v>
      </c>
      <c r="B55" s="8" t="s">
        <v>88</v>
      </c>
      <c r="C55" s="8" t="s">
        <v>520</v>
      </c>
      <c r="D55" s="8" t="s">
        <v>46</v>
      </c>
      <c r="E55" s="9">
        <v>16.45</v>
      </c>
      <c r="F55" s="10">
        <v>1.28</v>
      </c>
      <c r="G55" s="18">
        <v>1.28</v>
      </c>
      <c r="H55" s="26">
        <v>1.28</v>
      </c>
      <c r="I55" s="24">
        <v>0.84</v>
      </c>
      <c r="J55" s="30">
        <v>0.84</v>
      </c>
    </row>
    <row r="56" spans="1:10" ht="15.75" thickBot="1">
      <c r="A56" s="2">
        <v>12057</v>
      </c>
      <c r="B56" s="8" t="s">
        <v>497</v>
      </c>
      <c r="C56" s="8" t="s">
        <v>520</v>
      </c>
      <c r="D56" s="8" t="s">
        <v>38</v>
      </c>
      <c r="E56" s="9">
        <v>1.63</v>
      </c>
      <c r="F56" s="10">
        <v>0</v>
      </c>
      <c r="G56" s="18">
        <v>0</v>
      </c>
      <c r="H56" s="26">
        <v>0</v>
      </c>
      <c r="I56" s="24">
        <v>1.28</v>
      </c>
      <c r="J56" s="31">
        <v>1.28</v>
      </c>
    </row>
    <row r="57" spans="1:10" ht="15.75" thickBot="1">
      <c r="A57" s="6">
        <v>1931</v>
      </c>
      <c r="B57" s="8" t="s">
        <v>88</v>
      </c>
      <c r="C57" s="8" t="s">
        <v>89</v>
      </c>
      <c r="D57" s="8" t="s">
        <v>90</v>
      </c>
      <c r="E57" s="9">
        <v>16.45</v>
      </c>
      <c r="F57" s="10" t="s">
        <v>684</v>
      </c>
      <c r="G57" s="3" t="s">
        <v>684</v>
      </c>
      <c r="H57" s="3" t="s">
        <v>684</v>
      </c>
      <c r="I57" s="17">
        <f>1294 /10^3</f>
        <v>1.294</v>
      </c>
      <c r="J57" s="22">
        <f>1294 /10^3</f>
        <v>1.294</v>
      </c>
    </row>
    <row r="58" spans="1:10">
      <c r="A58" s="2">
        <v>12058</v>
      </c>
      <c r="B58" s="8" t="s">
        <v>556</v>
      </c>
      <c r="C58" s="8" t="s">
        <v>556</v>
      </c>
      <c r="D58" s="8" t="s">
        <v>24</v>
      </c>
      <c r="E58" s="9">
        <v>106</v>
      </c>
      <c r="F58" s="10">
        <v>15.51</v>
      </c>
      <c r="G58" s="18">
        <v>14.28</v>
      </c>
      <c r="H58" s="26">
        <v>14.28</v>
      </c>
      <c r="I58" s="25">
        <v>14.28</v>
      </c>
      <c r="J58" s="22">
        <v>22.95</v>
      </c>
    </row>
    <row r="59" spans="1:10">
      <c r="A59" s="2">
        <v>12059</v>
      </c>
      <c r="B59" s="8" t="s">
        <v>686</v>
      </c>
      <c r="C59" s="8" t="s">
        <v>782</v>
      </c>
      <c r="D59" s="8" t="s">
        <v>33</v>
      </c>
      <c r="E59" s="9">
        <v>0.34</v>
      </c>
      <c r="F59" s="15">
        <f>2425/10^6</f>
        <v>2.4250000000000001E-3</v>
      </c>
      <c r="G59" s="18">
        <v>0</v>
      </c>
      <c r="H59" s="26">
        <v>0</v>
      </c>
      <c r="I59" s="24">
        <f>41520/10^6</f>
        <v>4.1520000000000001E-2</v>
      </c>
      <c r="J59" s="31">
        <v>0.06</v>
      </c>
    </row>
    <row r="60" spans="1:10" ht="15.75" thickBot="1">
      <c r="A60" s="2">
        <v>12060</v>
      </c>
      <c r="B60" s="8" t="s">
        <v>347</v>
      </c>
      <c r="C60" s="8" t="s">
        <v>418</v>
      </c>
      <c r="D60" s="8" t="s">
        <v>11</v>
      </c>
      <c r="E60" s="9">
        <v>14.17</v>
      </c>
      <c r="F60" s="15">
        <f>3283113/10^6</f>
        <v>3.2831130000000002</v>
      </c>
      <c r="G60" s="18">
        <v>1.54</v>
      </c>
      <c r="H60" s="26">
        <v>1.54</v>
      </c>
      <c r="I60" s="24">
        <v>1.34</v>
      </c>
      <c r="J60" s="31">
        <v>1.34</v>
      </c>
    </row>
    <row r="61" spans="1:10" ht="15.75" thickBot="1">
      <c r="A61" s="2">
        <v>12061</v>
      </c>
      <c r="B61" s="8" t="s">
        <v>511</v>
      </c>
      <c r="C61" s="8" t="s">
        <v>521</v>
      </c>
      <c r="D61" s="8" t="s">
        <v>38</v>
      </c>
      <c r="E61" s="9">
        <v>1.74</v>
      </c>
      <c r="F61" s="10">
        <v>0.02</v>
      </c>
      <c r="G61" s="18">
        <v>0.02</v>
      </c>
      <c r="H61" s="26">
        <v>0.02</v>
      </c>
      <c r="I61" s="24">
        <v>0</v>
      </c>
      <c r="J61" s="30">
        <v>0</v>
      </c>
    </row>
    <row r="62" spans="1:10" ht="15.75" thickBot="1">
      <c r="A62" s="2">
        <v>12062</v>
      </c>
      <c r="B62" s="8" t="s">
        <v>557</v>
      </c>
      <c r="C62" s="8" t="s">
        <v>571</v>
      </c>
      <c r="D62" s="8" t="s">
        <v>24</v>
      </c>
      <c r="E62" s="9">
        <v>3.82</v>
      </c>
      <c r="F62" s="10">
        <v>1.5</v>
      </c>
      <c r="G62" s="18">
        <v>1.3</v>
      </c>
      <c r="H62" s="26">
        <v>1.3</v>
      </c>
      <c r="I62" s="24">
        <v>1.3</v>
      </c>
      <c r="J62" s="22">
        <v>2.7</v>
      </c>
    </row>
    <row r="63" spans="1:10" ht="15.75" thickBot="1">
      <c r="A63" s="2">
        <v>12063</v>
      </c>
      <c r="B63" s="8" t="s">
        <v>180</v>
      </c>
      <c r="C63" s="8" t="s">
        <v>668</v>
      </c>
      <c r="D63" s="8" t="s">
        <v>21</v>
      </c>
      <c r="E63" s="9">
        <v>6</v>
      </c>
      <c r="F63" s="10">
        <v>7.0000000000000007E-2</v>
      </c>
      <c r="G63" s="18">
        <v>7.0000000000000007E-2</v>
      </c>
      <c r="H63" s="26">
        <v>7.0000000000000007E-2</v>
      </c>
      <c r="I63" s="24">
        <v>0.11</v>
      </c>
      <c r="J63" s="31">
        <v>0.11</v>
      </c>
    </row>
    <row r="64" spans="1:10" ht="15.75" thickBot="1">
      <c r="A64" s="2">
        <v>12064</v>
      </c>
      <c r="B64" s="8" t="s">
        <v>611</v>
      </c>
      <c r="C64" s="8" t="s">
        <v>620</v>
      </c>
      <c r="D64" s="8" t="s">
        <v>55</v>
      </c>
      <c r="E64" s="9">
        <v>10.87</v>
      </c>
      <c r="F64" s="10">
        <v>0</v>
      </c>
      <c r="G64" s="18">
        <v>0</v>
      </c>
      <c r="H64" s="26">
        <v>0</v>
      </c>
      <c r="I64" s="25">
        <v>0</v>
      </c>
      <c r="J64" s="31">
        <v>0.17</v>
      </c>
    </row>
    <row r="65" spans="1:10" ht="15.75" thickBot="1">
      <c r="A65" s="2">
        <v>12065</v>
      </c>
      <c r="B65" s="8" t="s">
        <v>586</v>
      </c>
      <c r="C65" s="8" t="s">
        <v>621</v>
      </c>
      <c r="D65" s="8" t="s">
        <v>54</v>
      </c>
      <c r="E65" s="9">
        <v>16.02</v>
      </c>
      <c r="F65" s="10">
        <v>0.38</v>
      </c>
      <c r="G65" s="18">
        <v>0.39</v>
      </c>
      <c r="H65" s="26">
        <v>0.39</v>
      </c>
      <c r="I65" s="25">
        <v>0.74</v>
      </c>
      <c r="J65" s="30">
        <v>0.69</v>
      </c>
    </row>
    <row r="66" spans="1:10">
      <c r="A66" s="2">
        <v>12066</v>
      </c>
      <c r="B66" s="8" t="s">
        <v>603</v>
      </c>
      <c r="C66" s="8" t="s">
        <v>622</v>
      </c>
      <c r="D66" s="8" t="s">
        <v>54</v>
      </c>
      <c r="E66" s="9">
        <v>84.79</v>
      </c>
      <c r="F66" s="10">
        <v>6.55</v>
      </c>
      <c r="G66" s="18">
        <v>5.85</v>
      </c>
      <c r="H66" s="26">
        <v>6.45</v>
      </c>
      <c r="I66" s="25">
        <f>20100036/10^6</f>
        <v>20.100035999999999</v>
      </c>
      <c r="J66" s="30">
        <v>20.05</v>
      </c>
    </row>
    <row r="67" spans="1:10" ht="15.75" thickBot="1">
      <c r="A67" s="2">
        <v>12067</v>
      </c>
      <c r="B67" s="8" t="s">
        <v>365</v>
      </c>
      <c r="C67" s="8" t="s">
        <v>419</v>
      </c>
      <c r="D67" s="8" t="s">
        <v>28</v>
      </c>
      <c r="E67" s="9">
        <v>12.37</v>
      </c>
      <c r="F67" s="15">
        <f>6701/10^6</f>
        <v>6.7010000000000004E-3</v>
      </c>
      <c r="G67" s="18">
        <v>0.01</v>
      </c>
      <c r="H67" s="26">
        <v>0.01</v>
      </c>
      <c r="I67" s="24">
        <v>0.01</v>
      </c>
      <c r="J67" s="31">
        <v>0.01</v>
      </c>
    </row>
    <row r="68" spans="1:10" ht="15.75" thickBot="1">
      <c r="A68" s="2">
        <v>12070</v>
      </c>
      <c r="B68" s="8" t="s">
        <v>600</v>
      </c>
      <c r="C68" s="8" t="s">
        <v>623</v>
      </c>
      <c r="D68" s="8" t="s">
        <v>55</v>
      </c>
      <c r="E68" s="9">
        <v>6.45</v>
      </c>
      <c r="F68" s="10">
        <v>0</v>
      </c>
      <c r="G68" s="18">
        <v>0.05</v>
      </c>
      <c r="H68" s="26">
        <v>0.05</v>
      </c>
      <c r="I68" s="25">
        <v>0.05</v>
      </c>
      <c r="J68" s="31">
        <v>0.02</v>
      </c>
    </row>
    <row r="69" spans="1:10" ht="15.75" thickBot="1">
      <c r="A69" s="2">
        <v>12071</v>
      </c>
      <c r="B69" s="8" t="s">
        <v>703</v>
      </c>
      <c r="C69" s="8" t="s">
        <v>742</v>
      </c>
      <c r="D69" s="8" t="s">
        <v>37</v>
      </c>
      <c r="E69" s="9">
        <v>1.07</v>
      </c>
      <c r="F69" s="10">
        <v>0.45</v>
      </c>
      <c r="G69" s="18">
        <v>0.36</v>
      </c>
      <c r="H69" s="26">
        <v>0.71</v>
      </c>
      <c r="I69" s="24">
        <v>0.24</v>
      </c>
      <c r="J69" s="30">
        <v>0.22</v>
      </c>
    </row>
    <row r="70" spans="1:10" ht="15.75" thickBot="1">
      <c r="A70" s="2">
        <v>12072</v>
      </c>
      <c r="B70" s="8" t="s">
        <v>703</v>
      </c>
      <c r="C70" s="8" t="s">
        <v>754</v>
      </c>
      <c r="D70" s="8" t="s">
        <v>41</v>
      </c>
      <c r="E70" s="9">
        <v>0.36</v>
      </c>
      <c r="F70" s="10">
        <v>0.36</v>
      </c>
      <c r="G70" s="18">
        <v>0.36</v>
      </c>
      <c r="H70" s="26">
        <v>0.39</v>
      </c>
      <c r="I70" s="25">
        <v>0.39</v>
      </c>
      <c r="J70" s="30">
        <v>0.36</v>
      </c>
    </row>
    <row r="71" spans="1:10" ht="15.75" thickBot="1">
      <c r="A71" s="2">
        <v>12073</v>
      </c>
      <c r="B71" s="8" t="s">
        <v>181</v>
      </c>
      <c r="C71" s="8" t="s">
        <v>255</v>
      </c>
      <c r="D71" s="8" t="s">
        <v>15</v>
      </c>
      <c r="E71" s="9">
        <v>17.5</v>
      </c>
      <c r="F71" s="10">
        <v>0.03</v>
      </c>
      <c r="G71" s="18">
        <v>1.74</v>
      </c>
      <c r="H71" s="26">
        <v>1.1200000000000001</v>
      </c>
      <c r="I71" s="24">
        <v>1.06</v>
      </c>
      <c r="J71" s="31">
        <v>0.99</v>
      </c>
    </row>
    <row r="72" spans="1:10">
      <c r="A72" s="2">
        <v>12074</v>
      </c>
      <c r="B72" s="8" t="s">
        <v>487</v>
      </c>
      <c r="C72" s="8" t="s">
        <v>522</v>
      </c>
      <c r="D72" s="8" t="s">
        <v>38</v>
      </c>
      <c r="E72" s="9">
        <v>19.64</v>
      </c>
      <c r="F72" s="10">
        <v>1.56</v>
      </c>
      <c r="G72" s="18">
        <v>0.81</v>
      </c>
      <c r="H72" s="26">
        <v>0.22</v>
      </c>
      <c r="I72" s="25">
        <v>0.43</v>
      </c>
      <c r="J72" s="31">
        <v>0.43</v>
      </c>
    </row>
    <row r="73" spans="1:10" ht="15.75" thickBot="1">
      <c r="A73" s="2">
        <v>12075</v>
      </c>
      <c r="B73" s="8" t="s">
        <v>267</v>
      </c>
      <c r="C73" s="8" t="s">
        <v>420</v>
      </c>
      <c r="D73" s="8" t="s">
        <v>11</v>
      </c>
      <c r="E73" s="9">
        <v>38.21</v>
      </c>
      <c r="F73" s="15">
        <f>8893428/10^6</f>
        <v>8.8934280000000001</v>
      </c>
      <c r="G73" s="18">
        <v>8.84</v>
      </c>
      <c r="H73" s="26">
        <v>9.07</v>
      </c>
      <c r="I73" s="24">
        <v>9.07</v>
      </c>
      <c r="J73" s="31">
        <f>9224829/10^6</f>
        <v>9.2248289999999997</v>
      </c>
    </row>
    <row r="74" spans="1:10" ht="15.75" thickBot="1">
      <c r="A74" s="2">
        <v>12076</v>
      </c>
      <c r="B74" s="8" t="s">
        <v>86</v>
      </c>
      <c r="C74" s="8" t="s">
        <v>523</v>
      </c>
      <c r="D74" s="8" t="s">
        <v>45</v>
      </c>
      <c r="E74" s="9">
        <v>31.21</v>
      </c>
      <c r="F74" s="10">
        <v>0.69</v>
      </c>
      <c r="G74" s="18">
        <v>0.69</v>
      </c>
      <c r="H74" s="26">
        <v>0.69</v>
      </c>
      <c r="I74" s="25">
        <v>0.04</v>
      </c>
      <c r="J74" s="30">
        <v>0.04</v>
      </c>
    </row>
    <row r="75" spans="1:10">
      <c r="A75" s="2">
        <v>12077</v>
      </c>
      <c r="B75" s="8" t="s">
        <v>182</v>
      </c>
      <c r="C75" s="8" t="s">
        <v>60</v>
      </c>
      <c r="D75" s="8" t="s">
        <v>16</v>
      </c>
      <c r="E75" s="9">
        <v>34.33</v>
      </c>
      <c r="F75" s="10">
        <v>4.95</v>
      </c>
      <c r="G75" s="18">
        <v>4.88</v>
      </c>
      <c r="H75" s="26">
        <v>4.5199999999999996</v>
      </c>
      <c r="I75" s="24">
        <v>6.06</v>
      </c>
      <c r="J75" s="30">
        <v>5.76</v>
      </c>
    </row>
    <row r="76" spans="1:10">
      <c r="A76" s="2">
        <v>12078</v>
      </c>
      <c r="B76" s="8" t="s">
        <v>699</v>
      </c>
      <c r="C76" s="8" t="s">
        <v>736</v>
      </c>
      <c r="D76" s="8" t="s">
        <v>36</v>
      </c>
      <c r="E76" s="9">
        <v>0.34</v>
      </c>
      <c r="F76" s="15">
        <f>8416/10^6</f>
        <v>8.4159999999999999E-3</v>
      </c>
      <c r="G76" s="18">
        <v>0.01</v>
      </c>
      <c r="H76" s="26">
        <v>0.01</v>
      </c>
      <c r="I76" s="24">
        <v>0.2</v>
      </c>
      <c r="J76" s="31">
        <v>0.33</v>
      </c>
    </row>
    <row r="77" spans="1:10">
      <c r="A77" s="2">
        <v>12079</v>
      </c>
      <c r="B77" s="8" t="s">
        <v>372</v>
      </c>
      <c r="C77" s="8" t="s">
        <v>421</v>
      </c>
      <c r="D77" s="8" t="s">
        <v>11</v>
      </c>
      <c r="E77" s="9">
        <v>10.61</v>
      </c>
      <c r="F77" s="15">
        <f>904440/10^6</f>
        <v>0.90444000000000002</v>
      </c>
      <c r="G77" s="18">
        <v>0.18</v>
      </c>
      <c r="H77" s="26">
        <v>0.18</v>
      </c>
      <c r="I77" s="24">
        <v>0.03</v>
      </c>
      <c r="J77" s="30">
        <v>0.03</v>
      </c>
    </row>
    <row r="78" spans="1:10" ht="15.75" thickBot="1">
      <c r="A78" s="2">
        <v>12080</v>
      </c>
      <c r="B78" s="8" t="s">
        <v>359</v>
      </c>
      <c r="C78" s="8" t="s">
        <v>422</v>
      </c>
      <c r="D78" s="8" t="s">
        <v>11</v>
      </c>
      <c r="E78" s="9">
        <v>71.89</v>
      </c>
      <c r="F78" s="15">
        <f>14003031/10^6</f>
        <v>14.003031</v>
      </c>
      <c r="G78" s="18">
        <v>13.67</v>
      </c>
      <c r="H78" s="26">
        <v>11.97</v>
      </c>
      <c r="I78" s="25">
        <v>13.28</v>
      </c>
      <c r="J78" s="30">
        <v>13.1</v>
      </c>
    </row>
    <row r="79" spans="1:10" ht="15.75" thickBot="1">
      <c r="A79" s="2">
        <v>12081</v>
      </c>
      <c r="B79" s="8" t="s">
        <v>708</v>
      </c>
      <c r="C79" s="8" t="s">
        <v>750</v>
      </c>
      <c r="D79" s="8" t="s">
        <v>777</v>
      </c>
      <c r="E79" s="9">
        <v>5.42</v>
      </c>
      <c r="F79" s="10">
        <v>3.67</v>
      </c>
      <c r="G79" s="18">
        <v>3.81</v>
      </c>
      <c r="H79" s="26">
        <v>3.7</v>
      </c>
      <c r="I79" s="24">
        <v>3.7</v>
      </c>
      <c r="J79" s="31">
        <v>3.22</v>
      </c>
    </row>
    <row r="80" spans="1:10" ht="15.75" thickBot="1">
      <c r="A80" s="2">
        <v>12082</v>
      </c>
      <c r="B80" s="8" t="s">
        <v>505</v>
      </c>
      <c r="C80" s="8" t="s">
        <v>524</v>
      </c>
      <c r="D80" s="8" t="s">
        <v>43</v>
      </c>
      <c r="E80" s="9">
        <v>5.95</v>
      </c>
      <c r="F80" s="10">
        <v>0</v>
      </c>
      <c r="G80" s="18">
        <v>0</v>
      </c>
      <c r="H80" s="26">
        <v>0</v>
      </c>
      <c r="I80" s="24">
        <v>0</v>
      </c>
      <c r="J80" s="30">
        <v>0</v>
      </c>
    </row>
    <row r="81" spans="1:10" ht="15.75" thickBot="1">
      <c r="A81" s="2">
        <v>12083</v>
      </c>
      <c r="B81" s="8" t="s">
        <v>85</v>
      </c>
      <c r="C81" s="8" t="s">
        <v>525</v>
      </c>
      <c r="D81" s="8" t="s">
        <v>38</v>
      </c>
      <c r="E81" s="9">
        <v>21.03</v>
      </c>
      <c r="F81" s="10">
        <v>2.74</v>
      </c>
      <c r="G81" s="18">
        <v>4.5</v>
      </c>
      <c r="H81" s="26">
        <v>4.03</v>
      </c>
      <c r="I81" s="24">
        <v>5.24</v>
      </c>
      <c r="J81" s="30">
        <v>4.83</v>
      </c>
    </row>
    <row r="82" spans="1:10">
      <c r="A82" s="2">
        <v>12084</v>
      </c>
      <c r="B82" s="8" t="s">
        <v>711</v>
      </c>
      <c r="C82" s="8" t="s">
        <v>755</v>
      </c>
      <c r="D82" s="8" t="s">
        <v>44</v>
      </c>
      <c r="E82" s="9">
        <v>1.73</v>
      </c>
      <c r="F82" s="10">
        <v>1.7</v>
      </c>
      <c r="G82" s="18">
        <v>1.7</v>
      </c>
      <c r="H82" s="26">
        <v>1.7</v>
      </c>
      <c r="I82" s="25">
        <v>1.7</v>
      </c>
      <c r="J82" s="30">
        <v>1.7</v>
      </c>
    </row>
    <row r="83" spans="1:10">
      <c r="A83" s="7">
        <v>12085</v>
      </c>
      <c r="B83" s="8" t="s">
        <v>355</v>
      </c>
      <c r="C83" s="8" t="s">
        <v>423</v>
      </c>
      <c r="D83" s="8" t="s">
        <v>27</v>
      </c>
      <c r="E83" s="9">
        <v>9.26</v>
      </c>
      <c r="F83" s="15">
        <f>2732195/10^6</f>
        <v>2.7321949999999999</v>
      </c>
      <c r="G83" s="18">
        <v>2.42</v>
      </c>
      <c r="H83" s="26">
        <v>2.36</v>
      </c>
      <c r="I83" s="25">
        <v>2.2400000000000002</v>
      </c>
      <c r="J83" s="30">
        <v>2.2400000000000002</v>
      </c>
    </row>
    <row r="84" spans="1:10" ht="15.75" thickBot="1">
      <c r="A84" s="2">
        <v>12086</v>
      </c>
      <c r="B84" s="8" t="s">
        <v>714</v>
      </c>
      <c r="C84" s="8" t="s">
        <v>757</v>
      </c>
      <c r="D84" s="8" t="s">
        <v>11</v>
      </c>
      <c r="E84" s="9">
        <v>0.31</v>
      </c>
      <c r="F84" s="15">
        <f>148912/10^6</f>
        <v>0.14891199999999999</v>
      </c>
      <c r="G84" s="18">
        <v>0.14000000000000001</v>
      </c>
      <c r="H84" s="26">
        <v>0.13</v>
      </c>
      <c r="I84" s="25">
        <f>140420/10^6</f>
        <v>0.14041999999999999</v>
      </c>
      <c r="J84" s="31">
        <v>0.17</v>
      </c>
    </row>
    <row r="85" spans="1:10" ht="15.75" thickBot="1">
      <c r="A85" s="2">
        <v>12087</v>
      </c>
      <c r="B85" s="8" t="s">
        <v>502</v>
      </c>
      <c r="C85" s="8" t="s">
        <v>526</v>
      </c>
      <c r="D85" s="8" t="s">
        <v>37</v>
      </c>
      <c r="E85" s="9">
        <v>1.36</v>
      </c>
      <c r="F85" s="10">
        <v>1.05</v>
      </c>
      <c r="G85" s="18">
        <v>1.05</v>
      </c>
      <c r="H85" s="26">
        <v>1.05</v>
      </c>
      <c r="I85" s="24">
        <v>1.05</v>
      </c>
      <c r="J85" s="31">
        <v>1.05</v>
      </c>
    </row>
    <row r="86" spans="1:10" ht="15.75" thickBot="1">
      <c r="A86" s="6">
        <v>1092</v>
      </c>
      <c r="B86" s="8" t="s">
        <v>79</v>
      </c>
      <c r="C86" s="8" t="s">
        <v>80</v>
      </c>
      <c r="D86" s="8" t="s">
        <v>81</v>
      </c>
      <c r="E86" s="9">
        <v>2.59</v>
      </c>
      <c r="F86" s="10" t="s">
        <v>684</v>
      </c>
      <c r="G86" s="3" t="s">
        <v>684</v>
      </c>
      <c r="H86" s="3" t="s">
        <v>684</v>
      </c>
      <c r="I86" s="16">
        <f>262/10^3</f>
        <v>0.26200000000000001</v>
      </c>
      <c r="J86" s="22">
        <f>262/10^3</f>
        <v>0.26200000000000001</v>
      </c>
    </row>
    <row r="87" spans="1:10" ht="15.75" thickBot="1">
      <c r="A87" s="2">
        <v>12088</v>
      </c>
      <c r="B87" s="8" t="s">
        <v>693</v>
      </c>
      <c r="C87" s="8" t="s">
        <v>356</v>
      </c>
      <c r="D87" s="8" t="s">
        <v>24</v>
      </c>
      <c r="E87" s="9">
        <v>24.7</v>
      </c>
      <c r="F87" s="10">
        <v>0.12</v>
      </c>
      <c r="G87" s="18">
        <v>0.09</v>
      </c>
      <c r="H87" s="26">
        <v>0.09</v>
      </c>
      <c r="I87" s="25">
        <v>0.09</v>
      </c>
      <c r="J87" s="31">
        <v>0</v>
      </c>
    </row>
    <row r="88" spans="1:10">
      <c r="A88" s="2">
        <v>12090</v>
      </c>
      <c r="B88" s="8" t="s">
        <v>603</v>
      </c>
      <c r="C88" s="8" t="s">
        <v>624</v>
      </c>
      <c r="D88" s="8" t="s">
        <v>54</v>
      </c>
      <c r="E88" s="9">
        <v>9.32</v>
      </c>
      <c r="F88" s="10">
        <v>0.02</v>
      </c>
      <c r="G88" s="18">
        <v>0.01</v>
      </c>
      <c r="H88" s="26">
        <v>0.01</v>
      </c>
      <c r="I88" s="25">
        <v>1.29</v>
      </c>
      <c r="J88" s="30">
        <v>2.64</v>
      </c>
    </row>
    <row r="89" spans="1:10" ht="15.75" thickBot="1">
      <c r="A89" s="2">
        <v>12091</v>
      </c>
      <c r="B89" s="8" t="s">
        <v>357</v>
      </c>
      <c r="C89" s="8" t="s">
        <v>357</v>
      </c>
      <c r="D89" s="8" t="s">
        <v>14</v>
      </c>
      <c r="E89" s="9">
        <v>48.11</v>
      </c>
      <c r="F89" s="15">
        <f>6400344/10^6</f>
        <v>6.4003439999999996</v>
      </c>
      <c r="G89" s="18">
        <v>8.93</v>
      </c>
      <c r="H89" s="26">
        <v>8.2200000000000006</v>
      </c>
      <c r="I89" s="25">
        <v>8.15</v>
      </c>
      <c r="J89" s="30">
        <v>7.59</v>
      </c>
    </row>
    <row r="90" spans="1:10" ht="15.75" thickBot="1">
      <c r="A90" s="2">
        <v>12092</v>
      </c>
      <c r="B90" s="8" t="s">
        <v>101</v>
      </c>
      <c r="C90" s="8" t="s">
        <v>101</v>
      </c>
      <c r="D90" s="8" t="s">
        <v>5</v>
      </c>
      <c r="E90" s="9">
        <v>1.78</v>
      </c>
      <c r="F90" s="10">
        <v>0.89</v>
      </c>
      <c r="G90" s="18">
        <v>1.83</v>
      </c>
      <c r="H90" s="26">
        <v>0.89</v>
      </c>
      <c r="I90" s="24">
        <v>0.89</v>
      </c>
      <c r="J90" s="30">
        <v>1.91</v>
      </c>
    </row>
    <row r="91" spans="1:10">
      <c r="A91" s="2">
        <v>12093</v>
      </c>
      <c r="B91" s="8" t="s">
        <v>612</v>
      </c>
      <c r="C91" s="8" t="s">
        <v>625</v>
      </c>
      <c r="D91" s="8" t="s">
        <v>53</v>
      </c>
      <c r="E91" s="9">
        <v>23.14</v>
      </c>
      <c r="F91" s="10">
        <v>2.02</v>
      </c>
      <c r="G91" s="18">
        <v>0.89</v>
      </c>
      <c r="H91" s="26">
        <v>1.83</v>
      </c>
      <c r="I91" s="24">
        <v>1.91</v>
      </c>
      <c r="J91" s="30">
        <v>0.89</v>
      </c>
    </row>
    <row r="92" spans="1:10" ht="15.75" thickBot="1">
      <c r="A92" s="2">
        <v>12095</v>
      </c>
      <c r="B92" s="8" t="s">
        <v>360</v>
      </c>
      <c r="C92" s="8" t="s">
        <v>424</v>
      </c>
      <c r="D92" s="8" t="s">
        <v>14</v>
      </c>
      <c r="E92" s="9">
        <v>6.59</v>
      </c>
      <c r="F92" s="15">
        <f>19531/10^6</f>
        <v>1.9531E-2</v>
      </c>
      <c r="G92" s="18">
        <v>0.02</v>
      </c>
      <c r="H92" s="26">
        <v>0.02</v>
      </c>
      <c r="I92" s="24">
        <f>3495/10^6</f>
        <v>3.4949999999999998E-3</v>
      </c>
      <c r="J92" s="31">
        <v>0</v>
      </c>
    </row>
    <row r="93" spans="1:10" ht="15.75" thickBot="1">
      <c r="A93" s="2">
        <v>12096</v>
      </c>
      <c r="B93" s="8" t="s">
        <v>183</v>
      </c>
      <c r="C93" s="8" t="s">
        <v>256</v>
      </c>
      <c r="D93" s="8" t="s">
        <v>19</v>
      </c>
      <c r="E93" s="9">
        <v>13.11</v>
      </c>
      <c r="F93" s="10">
        <v>0.22</v>
      </c>
      <c r="G93" s="18">
        <v>0.25</v>
      </c>
      <c r="H93" s="26">
        <v>0.13</v>
      </c>
      <c r="I93" s="25">
        <v>0.09</v>
      </c>
      <c r="J93" s="30">
        <v>0.01</v>
      </c>
    </row>
    <row r="94" spans="1:10" ht="15.75" thickBot="1">
      <c r="A94" s="2">
        <v>12098</v>
      </c>
      <c r="B94" s="8" t="s">
        <v>184</v>
      </c>
      <c r="C94" s="8" t="s">
        <v>257</v>
      </c>
      <c r="D94" s="8" t="s">
        <v>15</v>
      </c>
      <c r="E94" s="9">
        <v>69.25</v>
      </c>
      <c r="F94" s="10">
        <v>9.4600000000000009</v>
      </c>
      <c r="G94" s="18">
        <v>9.48</v>
      </c>
      <c r="H94" s="26">
        <v>8.9700000000000006</v>
      </c>
      <c r="I94" s="25">
        <v>8.9700000000000006</v>
      </c>
      <c r="J94" s="31">
        <v>8.67</v>
      </c>
    </row>
    <row r="95" spans="1:10">
      <c r="A95" s="2">
        <v>12099</v>
      </c>
      <c r="B95" s="8" t="s">
        <v>235</v>
      </c>
      <c r="C95" s="8" t="s">
        <v>741</v>
      </c>
      <c r="D95" s="8" t="s">
        <v>18</v>
      </c>
      <c r="E95" s="9">
        <v>6</v>
      </c>
      <c r="F95" s="10">
        <v>1.1599999999999999</v>
      </c>
      <c r="G95" s="18">
        <v>1.22</v>
      </c>
      <c r="H95" s="26">
        <v>1.17</v>
      </c>
      <c r="I95" s="24">
        <v>1.1499999999999999</v>
      </c>
      <c r="J95" s="30">
        <v>1.1200000000000001</v>
      </c>
    </row>
    <row r="96" spans="1:10">
      <c r="A96" s="2">
        <v>12100</v>
      </c>
      <c r="B96" s="8" t="s">
        <v>410</v>
      </c>
      <c r="C96" s="8" t="s">
        <v>425</v>
      </c>
      <c r="D96" s="8" t="s">
        <v>36</v>
      </c>
      <c r="E96" s="9">
        <v>37.549999999999997</v>
      </c>
      <c r="F96" s="15">
        <f>4384194/10^6</f>
        <v>4.3841939999999999</v>
      </c>
      <c r="G96" s="18">
        <v>3.79</v>
      </c>
      <c r="H96" s="26">
        <v>3.63</v>
      </c>
      <c r="I96" s="25">
        <v>3.52</v>
      </c>
      <c r="J96" s="30">
        <v>3.52</v>
      </c>
    </row>
    <row r="97" spans="1:10" ht="15.75" thickBot="1">
      <c r="A97" s="2">
        <v>12101</v>
      </c>
      <c r="B97" s="8" t="s">
        <v>389</v>
      </c>
      <c r="C97" s="8" t="s">
        <v>426</v>
      </c>
      <c r="D97" s="8" t="s">
        <v>31</v>
      </c>
      <c r="E97" s="9">
        <v>53.45</v>
      </c>
      <c r="F97" s="15">
        <f>9589529/10^6</f>
        <v>9.5895290000000006</v>
      </c>
      <c r="G97" s="18">
        <v>9.59</v>
      </c>
      <c r="H97" s="26">
        <v>9.7899999999999991</v>
      </c>
      <c r="I97" s="25">
        <v>9.3000000000000007</v>
      </c>
      <c r="J97" s="31">
        <v>11.51</v>
      </c>
    </row>
    <row r="98" spans="1:10" ht="15.75" thickBot="1">
      <c r="A98" s="2">
        <v>12102</v>
      </c>
      <c r="B98" s="8" t="s">
        <v>705</v>
      </c>
      <c r="C98" s="8" t="s">
        <v>705</v>
      </c>
      <c r="D98" s="8" t="s">
        <v>24</v>
      </c>
      <c r="E98" s="9">
        <v>0.57999999999999996</v>
      </c>
      <c r="F98" s="10">
        <v>0.12</v>
      </c>
      <c r="G98" s="18">
        <v>0.1</v>
      </c>
      <c r="H98" s="26">
        <v>0.1</v>
      </c>
      <c r="I98" s="24">
        <v>0.1</v>
      </c>
      <c r="J98" s="21">
        <v>0.48</v>
      </c>
    </row>
    <row r="99" spans="1:10">
      <c r="A99" s="2">
        <v>12138</v>
      </c>
      <c r="B99" s="8" t="s">
        <v>102</v>
      </c>
      <c r="C99" s="8" t="s">
        <v>775</v>
      </c>
      <c r="D99" s="8" t="s">
        <v>5</v>
      </c>
      <c r="E99" s="9">
        <v>0.49</v>
      </c>
      <c r="F99" s="10">
        <v>0.27</v>
      </c>
      <c r="G99" s="18">
        <v>0.27</v>
      </c>
      <c r="H99" s="26">
        <v>0.27</v>
      </c>
      <c r="I99" s="24">
        <v>0.27</v>
      </c>
      <c r="J99" s="31">
        <v>0.27</v>
      </c>
    </row>
    <row r="100" spans="1:10" ht="15.75" thickBot="1">
      <c r="A100" s="2">
        <v>12103</v>
      </c>
      <c r="B100" s="8" t="s">
        <v>382</v>
      </c>
      <c r="C100" s="8" t="s">
        <v>427</v>
      </c>
      <c r="D100" s="8" t="s">
        <v>29</v>
      </c>
      <c r="E100" s="9">
        <v>2.71</v>
      </c>
      <c r="F100" s="15">
        <f>0/10^6</f>
        <v>0</v>
      </c>
      <c r="G100" s="18">
        <v>0</v>
      </c>
      <c r="H100" s="26">
        <v>0</v>
      </c>
      <c r="I100" s="25">
        <v>0</v>
      </c>
      <c r="J100" s="30">
        <v>0</v>
      </c>
    </row>
    <row r="101" spans="1:10" ht="15.75" thickBot="1">
      <c r="A101" s="2">
        <v>12104</v>
      </c>
      <c r="B101" s="8" t="s">
        <v>679</v>
      </c>
      <c r="C101" s="8" t="s">
        <v>747</v>
      </c>
      <c r="D101" s="8" t="s">
        <v>671</v>
      </c>
      <c r="E101" s="9">
        <v>0.72</v>
      </c>
      <c r="F101" s="10">
        <v>0.43</v>
      </c>
      <c r="G101" s="18">
        <v>0.43</v>
      </c>
      <c r="H101" s="26">
        <v>0.43</v>
      </c>
      <c r="I101" s="25">
        <v>0.43</v>
      </c>
      <c r="J101" s="30">
        <v>0.43</v>
      </c>
    </row>
    <row r="102" spans="1:10" ht="15.75" thickBot="1">
      <c r="A102" s="2">
        <v>12105</v>
      </c>
      <c r="B102" s="8" t="s">
        <v>185</v>
      </c>
      <c r="C102" s="8" t="s">
        <v>258</v>
      </c>
      <c r="D102" s="8" t="s">
        <v>21</v>
      </c>
      <c r="E102" s="9">
        <v>26.23</v>
      </c>
      <c r="F102" s="10">
        <v>0.52</v>
      </c>
      <c r="G102" s="18">
        <v>0.32</v>
      </c>
      <c r="H102" s="26">
        <v>0.23</v>
      </c>
      <c r="I102" s="24">
        <v>0.23</v>
      </c>
      <c r="J102" s="31">
        <v>0.23</v>
      </c>
    </row>
    <row r="103" spans="1:10" ht="15.75" thickBot="1">
      <c r="A103" s="2">
        <v>12106</v>
      </c>
      <c r="B103" s="8" t="s">
        <v>715</v>
      </c>
      <c r="C103" s="8" t="s">
        <v>715</v>
      </c>
      <c r="D103" s="8" t="s">
        <v>672</v>
      </c>
      <c r="E103" s="9">
        <v>0.82</v>
      </c>
      <c r="F103" s="10">
        <v>0.79</v>
      </c>
      <c r="G103" s="18">
        <v>0.79</v>
      </c>
      <c r="H103" s="26">
        <v>0.79</v>
      </c>
      <c r="I103" s="25">
        <v>0.79</v>
      </c>
      <c r="J103" s="31">
        <v>0.79</v>
      </c>
    </row>
    <row r="104" spans="1:10" ht="15.75" thickBot="1">
      <c r="A104" s="2">
        <v>12107</v>
      </c>
      <c r="B104" s="8" t="s">
        <v>186</v>
      </c>
      <c r="C104" s="8" t="s">
        <v>259</v>
      </c>
      <c r="D104" s="8" t="s">
        <v>21</v>
      </c>
      <c r="E104" s="9">
        <v>13.63</v>
      </c>
      <c r="F104" s="10">
        <v>0.03</v>
      </c>
      <c r="G104" s="18">
        <v>0.15</v>
      </c>
      <c r="H104" s="26">
        <v>0.11</v>
      </c>
      <c r="I104" s="24">
        <v>0.11</v>
      </c>
      <c r="J104" s="30">
        <v>0.1</v>
      </c>
    </row>
    <row r="105" spans="1:10" ht="15.75" thickBot="1">
      <c r="A105" s="2">
        <v>12108</v>
      </c>
      <c r="B105" s="8" t="s">
        <v>648</v>
      </c>
      <c r="C105" s="8" t="s">
        <v>626</v>
      </c>
      <c r="D105" s="8" t="s">
        <v>54</v>
      </c>
      <c r="E105" s="9">
        <v>25.71</v>
      </c>
      <c r="F105" s="10">
        <v>0.57999999999999996</v>
      </c>
      <c r="G105" s="18">
        <v>0.46</v>
      </c>
      <c r="H105" s="26">
        <v>0.46</v>
      </c>
      <c r="I105" s="25">
        <f>1054710/10^6</f>
        <v>1.05471</v>
      </c>
      <c r="J105" s="31">
        <v>1.05</v>
      </c>
    </row>
    <row r="106" spans="1:10">
      <c r="A106" s="2">
        <v>12109</v>
      </c>
      <c r="B106" s="8" t="s">
        <v>187</v>
      </c>
      <c r="C106" s="8" t="s">
        <v>260</v>
      </c>
      <c r="D106" s="8" t="s">
        <v>10</v>
      </c>
      <c r="E106" s="9">
        <v>87.69</v>
      </c>
      <c r="F106" s="10">
        <v>0.01</v>
      </c>
      <c r="G106" s="18">
        <v>0.1</v>
      </c>
      <c r="H106" s="26">
        <v>0.06</v>
      </c>
      <c r="I106" s="25">
        <v>0.06</v>
      </c>
      <c r="J106" s="30">
        <v>0.04</v>
      </c>
    </row>
    <row r="107" spans="1:10" ht="15.75" thickBot="1">
      <c r="A107" s="2">
        <v>12110</v>
      </c>
      <c r="B107" s="8" t="s">
        <v>374</v>
      </c>
      <c r="C107" s="8" t="s">
        <v>428</v>
      </c>
      <c r="D107" s="8" t="s">
        <v>34</v>
      </c>
      <c r="E107" s="9">
        <v>31.29</v>
      </c>
      <c r="F107" s="15">
        <f>17039/10^6</f>
        <v>1.7038999999999999E-2</v>
      </c>
      <c r="G107" s="18">
        <v>0.02</v>
      </c>
      <c r="H107" s="26">
        <v>0.02</v>
      </c>
      <c r="I107" s="24">
        <v>0.02</v>
      </c>
      <c r="J107" s="30">
        <v>0.02</v>
      </c>
    </row>
    <row r="108" spans="1:10" ht="15.75" thickBot="1">
      <c r="A108" s="2">
        <v>12112</v>
      </c>
      <c r="B108" s="8" t="s">
        <v>696</v>
      </c>
      <c r="C108" s="8" t="s">
        <v>261</v>
      </c>
      <c r="D108" s="8" t="s">
        <v>19</v>
      </c>
      <c r="E108" s="9">
        <v>6700</v>
      </c>
      <c r="F108" s="10">
        <v>746.36</v>
      </c>
      <c r="G108" s="18">
        <v>698.53</v>
      </c>
      <c r="H108" s="26">
        <v>657.72</v>
      </c>
      <c r="I108" s="24">
        <v>657.08</v>
      </c>
      <c r="J108" s="31">
        <v>653.26</v>
      </c>
    </row>
    <row r="109" spans="1:10">
      <c r="A109" s="2">
        <v>12113</v>
      </c>
      <c r="B109" s="8" t="s">
        <v>188</v>
      </c>
      <c r="C109" s="8" t="s">
        <v>262</v>
      </c>
      <c r="D109" s="8" t="s">
        <v>13</v>
      </c>
      <c r="E109" s="9">
        <v>63.9</v>
      </c>
      <c r="F109" s="10">
        <v>1.6</v>
      </c>
      <c r="G109" s="18">
        <v>1.48</v>
      </c>
      <c r="H109" s="26">
        <v>1.33</v>
      </c>
      <c r="I109" s="25">
        <v>1.22</v>
      </c>
      <c r="J109" s="30">
        <v>1.1299999999999999</v>
      </c>
    </row>
    <row r="110" spans="1:10" ht="15.75" thickBot="1">
      <c r="A110" s="2">
        <v>12114</v>
      </c>
      <c r="B110" s="8" t="s">
        <v>377</v>
      </c>
      <c r="C110" s="8" t="s">
        <v>429</v>
      </c>
      <c r="D110" s="8" t="s">
        <v>11</v>
      </c>
      <c r="E110" s="9">
        <v>10.5</v>
      </c>
      <c r="F110" s="15">
        <f>6188978/10^6</f>
        <v>6.1889779999999996</v>
      </c>
      <c r="G110" s="18">
        <v>6.69</v>
      </c>
      <c r="H110" s="26">
        <v>6.66</v>
      </c>
      <c r="I110" s="25">
        <v>7.79</v>
      </c>
      <c r="J110" s="31">
        <v>7.79</v>
      </c>
    </row>
    <row r="111" spans="1:10" ht="15.75" thickBot="1">
      <c r="A111" s="2">
        <v>12116</v>
      </c>
      <c r="B111" s="8" t="s">
        <v>98</v>
      </c>
      <c r="C111" s="8" t="s">
        <v>99</v>
      </c>
      <c r="D111" s="8" t="s">
        <v>13</v>
      </c>
      <c r="E111" s="9">
        <v>12</v>
      </c>
      <c r="F111" s="10">
        <v>5.39</v>
      </c>
      <c r="G111" s="18">
        <v>5.61</v>
      </c>
      <c r="H111" s="26">
        <v>5.42</v>
      </c>
      <c r="I111" s="24">
        <v>8.3000000000000007</v>
      </c>
      <c r="J111" s="30">
        <v>8.66</v>
      </c>
    </row>
    <row r="112" spans="1:10" ht="15.75" thickBot="1">
      <c r="A112" s="2">
        <v>12117</v>
      </c>
      <c r="B112" s="8" t="s">
        <v>189</v>
      </c>
      <c r="C112" s="8" t="s">
        <v>263</v>
      </c>
      <c r="D112" s="8" t="s">
        <v>17</v>
      </c>
      <c r="E112" s="9">
        <v>202</v>
      </c>
      <c r="F112" s="10">
        <v>12.61</v>
      </c>
      <c r="G112" s="18">
        <v>12.82</v>
      </c>
      <c r="H112" s="26">
        <v>12.52</v>
      </c>
      <c r="I112" s="25">
        <v>11.14</v>
      </c>
      <c r="J112" s="31">
        <v>11.35</v>
      </c>
    </row>
    <row r="113" spans="1:10" ht="15.75" thickBot="1">
      <c r="A113" s="2">
        <v>12118</v>
      </c>
      <c r="B113" s="8" t="s">
        <v>190</v>
      </c>
      <c r="C113" s="8" t="s">
        <v>225</v>
      </c>
      <c r="D113" s="8" t="s">
        <v>18</v>
      </c>
      <c r="E113" s="9">
        <v>126</v>
      </c>
      <c r="F113" s="10">
        <v>0.75</v>
      </c>
      <c r="G113" s="18">
        <v>0.8</v>
      </c>
      <c r="H113" s="26">
        <v>0.68</v>
      </c>
      <c r="I113" s="25">
        <v>0.71</v>
      </c>
      <c r="J113" s="30">
        <v>0.67</v>
      </c>
    </row>
    <row r="114" spans="1:10">
      <c r="A114" s="2">
        <v>12119</v>
      </c>
      <c r="B114" s="8" t="s">
        <v>128</v>
      </c>
      <c r="C114" s="8" t="s">
        <v>129</v>
      </c>
      <c r="D114" s="8" t="s">
        <v>393</v>
      </c>
      <c r="E114" s="9">
        <v>58</v>
      </c>
      <c r="F114" s="10">
        <v>29.48</v>
      </c>
      <c r="G114" s="18">
        <v>55.24</v>
      </c>
      <c r="H114" s="26">
        <v>55.15</v>
      </c>
      <c r="I114" s="25">
        <v>55.06</v>
      </c>
      <c r="J114" s="30">
        <v>52.15</v>
      </c>
    </row>
    <row r="115" spans="1:10" ht="15.75" thickBot="1">
      <c r="A115" s="2">
        <v>12120</v>
      </c>
      <c r="B115" s="8" t="s">
        <v>371</v>
      </c>
      <c r="C115" s="8" t="s">
        <v>430</v>
      </c>
      <c r="D115" s="8" t="s">
        <v>30</v>
      </c>
      <c r="E115" s="9">
        <v>1.97</v>
      </c>
      <c r="F115" s="15">
        <f>253450/10^6</f>
        <v>0.25345000000000001</v>
      </c>
      <c r="G115" s="18">
        <v>0.19</v>
      </c>
      <c r="H115" s="26">
        <v>0.16</v>
      </c>
      <c r="I115" s="24">
        <f>254540/10^6</f>
        <v>0.25453999999999999</v>
      </c>
      <c r="J115" s="31">
        <v>0.25</v>
      </c>
    </row>
    <row r="116" spans="1:10" ht="15.75" thickBot="1">
      <c r="A116" s="2">
        <v>12121</v>
      </c>
      <c r="B116" s="8" t="s">
        <v>130</v>
      </c>
      <c r="C116" s="8" t="s">
        <v>131</v>
      </c>
      <c r="D116" s="8" t="s">
        <v>139</v>
      </c>
      <c r="E116" s="9">
        <v>5.98</v>
      </c>
      <c r="F116" s="10">
        <v>1.8</v>
      </c>
      <c r="G116" s="18">
        <v>5.81</v>
      </c>
      <c r="H116" s="26">
        <v>5.88</v>
      </c>
      <c r="I116" s="24">
        <v>5.64</v>
      </c>
      <c r="J116" s="31">
        <v>5.18</v>
      </c>
    </row>
    <row r="117" spans="1:10" ht="15.75" thickBot="1">
      <c r="A117" s="2">
        <v>12122</v>
      </c>
      <c r="B117" s="8" t="s">
        <v>86</v>
      </c>
      <c r="C117" s="8" t="s">
        <v>527</v>
      </c>
      <c r="D117" s="8" t="s">
        <v>45</v>
      </c>
      <c r="E117" s="9">
        <v>188</v>
      </c>
      <c r="F117" s="10">
        <v>6.4</v>
      </c>
      <c r="G117" s="18">
        <v>2.02</v>
      </c>
      <c r="H117" s="26">
        <v>2.02</v>
      </c>
      <c r="I117" s="24">
        <v>0</v>
      </c>
      <c r="J117" s="31">
        <v>0</v>
      </c>
    </row>
    <row r="118" spans="1:10">
      <c r="A118" s="2">
        <v>12123</v>
      </c>
      <c r="B118" s="8" t="s">
        <v>492</v>
      </c>
      <c r="C118" s="8" t="s">
        <v>528</v>
      </c>
      <c r="D118" s="8" t="s">
        <v>38</v>
      </c>
      <c r="E118" s="9">
        <v>3.45</v>
      </c>
      <c r="F118" s="10">
        <v>0</v>
      </c>
      <c r="G118" s="18">
        <v>0</v>
      </c>
      <c r="H118" s="26">
        <v>0</v>
      </c>
      <c r="I118" s="25">
        <v>0</v>
      </c>
      <c r="J118" s="30">
        <v>0</v>
      </c>
    </row>
    <row r="119" spans="1:10" ht="15.75" thickBot="1">
      <c r="A119" s="2">
        <v>12124</v>
      </c>
      <c r="B119" s="8" t="s">
        <v>396</v>
      </c>
      <c r="C119" s="8" t="s">
        <v>431</v>
      </c>
      <c r="D119" s="8" t="s">
        <v>36</v>
      </c>
      <c r="E119" s="9">
        <v>2.76</v>
      </c>
      <c r="F119" s="15">
        <f>1415/10^6</f>
        <v>1.415E-3</v>
      </c>
      <c r="G119" s="18">
        <v>0</v>
      </c>
      <c r="H119" s="26">
        <v>0</v>
      </c>
      <c r="I119" s="24">
        <f>512920/10^6</f>
        <v>0.51292000000000004</v>
      </c>
      <c r="J119" s="30">
        <v>0.55000000000000004</v>
      </c>
    </row>
    <row r="120" spans="1:10">
      <c r="A120" s="2">
        <v>12126</v>
      </c>
      <c r="B120" s="8" t="s">
        <v>191</v>
      </c>
      <c r="C120" s="8" t="s">
        <v>264</v>
      </c>
      <c r="D120" s="8" t="s">
        <v>18</v>
      </c>
      <c r="E120" s="9">
        <v>86.09</v>
      </c>
      <c r="F120" s="10">
        <v>0.88</v>
      </c>
      <c r="G120" s="18">
        <v>1.53</v>
      </c>
      <c r="H120" s="26">
        <v>1.32</v>
      </c>
      <c r="I120" s="25">
        <v>1.24</v>
      </c>
      <c r="J120" s="30">
        <v>1.1299999999999999</v>
      </c>
    </row>
    <row r="121" spans="1:10" ht="15.75" thickBot="1">
      <c r="A121" s="2">
        <v>12128</v>
      </c>
      <c r="B121" s="8" t="s">
        <v>369</v>
      </c>
      <c r="C121" s="8" t="s">
        <v>432</v>
      </c>
      <c r="D121" s="8" t="s">
        <v>11</v>
      </c>
      <c r="E121" s="9">
        <v>4.2</v>
      </c>
      <c r="F121" s="15">
        <f>1320870/10^6</f>
        <v>1.32087</v>
      </c>
      <c r="G121" s="18">
        <v>1.24</v>
      </c>
      <c r="H121" s="26">
        <v>1.24</v>
      </c>
      <c r="I121" s="25">
        <v>1.17</v>
      </c>
      <c r="J121" s="31">
        <f>985576/10^6</f>
        <v>0.98557600000000001</v>
      </c>
    </row>
    <row r="122" spans="1:10" ht="15.75" thickBot="1">
      <c r="A122" s="2">
        <v>12129</v>
      </c>
      <c r="B122" s="8" t="s">
        <v>132</v>
      </c>
      <c r="C122" s="8" t="s">
        <v>133</v>
      </c>
      <c r="D122" s="8" t="s">
        <v>781</v>
      </c>
      <c r="E122" s="9">
        <v>245.38</v>
      </c>
      <c r="F122" s="10">
        <v>62.84</v>
      </c>
      <c r="G122" s="18">
        <v>221.05</v>
      </c>
      <c r="H122" s="26">
        <v>221.72</v>
      </c>
      <c r="I122" s="25">
        <v>216.32</v>
      </c>
      <c r="J122" s="31">
        <v>205.96</v>
      </c>
    </row>
    <row r="123" spans="1:10" ht="15.75" thickBot="1">
      <c r="A123" s="2">
        <v>12130</v>
      </c>
      <c r="B123" s="8" t="s">
        <v>661</v>
      </c>
      <c r="C123" s="8" t="s">
        <v>665</v>
      </c>
      <c r="D123" s="8" t="s">
        <v>56</v>
      </c>
      <c r="E123" s="9">
        <v>0.82</v>
      </c>
      <c r="F123" s="10">
        <v>0.77</v>
      </c>
      <c r="G123" s="18">
        <v>0.77</v>
      </c>
      <c r="H123" s="26">
        <v>0.77</v>
      </c>
      <c r="I123" s="24">
        <v>0.74</v>
      </c>
      <c r="J123" s="30">
        <v>0.74</v>
      </c>
    </row>
    <row r="124" spans="1:10">
      <c r="A124" s="2">
        <v>12132</v>
      </c>
      <c r="B124" s="8" t="s">
        <v>192</v>
      </c>
      <c r="C124" s="8" t="s">
        <v>265</v>
      </c>
      <c r="D124" s="8" t="s">
        <v>10</v>
      </c>
      <c r="E124" s="9">
        <v>3.25</v>
      </c>
      <c r="F124" s="10">
        <v>0.01</v>
      </c>
      <c r="G124" s="18">
        <v>3.21</v>
      </c>
      <c r="H124" s="26">
        <v>3</v>
      </c>
      <c r="I124" s="25">
        <v>3.16</v>
      </c>
      <c r="J124" s="30">
        <v>3.98</v>
      </c>
    </row>
    <row r="125" spans="1:10">
      <c r="A125" s="2">
        <v>12133</v>
      </c>
      <c r="B125" s="8" t="s">
        <v>361</v>
      </c>
      <c r="C125" s="8" t="s">
        <v>362</v>
      </c>
      <c r="D125" s="8" t="s">
        <v>11</v>
      </c>
      <c r="E125" s="9">
        <v>35.020000000000003</v>
      </c>
      <c r="F125" s="15">
        <f>6524800/10^6</f>
        <v>6.5247999999999999</v>
      </c>
      <c r="G125" s="18">
        <v>6.46</v>
      </c>
      <c r="H125" s="26">
        <v>6.66</v>
      </c>
      <c r="I125" s="24">
        <v>6.92</v>
      </c>
      <c r="J125" s="31">
        <v>6.89</v>
      </c>
    </row>
    <row r="126" spans="1:10" ht="15.75" thickBot="1">
      <c r="A126" s="2">
        <v>12134</v>
      </c>
      <c r="B126" s="8" t="s">
        <v>363</v>
      </c>
      <c r="C126" s="8" t="s">
        <v>433</v>
      </c>
      <c r="D126" s="8" t="s">
        <v>14</v>
      </c>
      <c r="E126" s="9">
        <v>69.97</v>
      </c>
      <c r="F126" s="15">
        <f>260923/10^6</f>
        <v>0.26092300000000002</v>
      </c>
      <c r="G126" s="18">
        <v>0.35</v>
      </c>
      <c r="H126" s="26">
        <v>0.35</v>
      </c>
      <c r="I126" s="25">
        <v>0.2</v>
      </c>
      <c r="J126" s="31">
        <v>0.2</v>
      </c>
    </row>
    <row r="127" spans="1:10" ht="15.75" thickBot="1">
      <c r="A127" s="2">
        <v>12135</v>
      </c>
      <c r="B127" s="8" t="s">
        <v>587</v>
      </c>
      <c r="C127" s="8" t="s">
        <v>627</v>
      </c>
      <c r="D127" s="8" t="s">
        <v>55</v>
      </c>
      <c r="E127" s="9">
        <v>3.71</v>
      </c>
      <c r="F127" s="10">
        <v>0</v>
      </c>
      <c r="G127" s="18">
        <v>0</v>
      </c>
      <c r="H127" s="26">
        <v>0</v>
      </c>
      <c r="I127" s="24">
        <v>0</v>
      </c>
      <c r="J127" s="30">
        <v>0</v>
      </c>
    </row>
    <row r="128" spans="1:10">
      <c r="A128" s="2">
        <v>12136</v>
      </c>
      <c r="B128" s="8" t="s">
        <v>134</v>
      </c>
      <c r="C128" s="8" t="s">
        <v>135</v>
      </c>
      <c r="D128" s="8" t="s">
        <v>393</v>
      </c>
      <c r="E128" s="9">
        <v>126</v>
      </c>
      <c r="F128" s="10">
        <v>18.579999999999998</v>
      </c>
      <c r="G128" s="18">
        <v>55.91</v>
      </c>
      <c r="H128" s="26">
        <v>86.4</v>
      </c>
      <c r="I128" s="24">
        <v>85.43</v>
      </c>
      <c r="J128" s="31">
        <v>74.739999999999995</v>
      </c>
    </row>
    <row r="129" spans="1:10" ht="15.75" thickBot="1">
      <c r="A129" s="2">
        <v>12137</v>
      </c>
      <c r="B129" s="8" t="s">
        <v>720</v>
      </c>
      <c r="C129" s="8" t="s">
        <v>721</v>
      </c>
      <c r="D129" s="8" t="s">
        <v>9</v>
      </c>
      <c r="E129" s="9">
        <v>0.67</v>
      </c>
      <c r="F129" s="15">
        <f>1640/10^6</f>
        <v>1.64E-3</v>
      </c>
      <c r="G129" s="18">
        <v>0</v>
      </c>
      <c r="H129" s="26">
        <v>0</v>
      </c>
      <c r="I129" s="24">
        <f>1640/10^6</f>
        <v>1.64E-3</v>
      </c>
      <c r="J129" s="31">
        <v>0</v>
      </c>
    </row>
    <row r="130" spans="1:10" ht="15" customHeight="1" thickBot="1">
      <c r="A130" s="2">
        <v>12139</v>
      </c>
      <c r="B130" s="8" t="s">
        <v>383</v>
      </c>
      <c r="C130" s="8" t="s">
        <v>434</v>
      </c>
      <c r="D130" s="8" t="s">
        <v>9</v>
      </c>
      <c r="E130" s="9">
        <v>3.92</v>
      </c>
      <c r="F130" s="10" t="s">
        <v>684</v>
      </c>
      <c r="G130" s="18">
        <v>0.41</v>
      </c>
      <c r="H130" s="26">
        <v>0.41</v>
      </c>
      <c r="I130" s="24">
        <v>0.41</v>
      </c>
      <c r="J130" s="31">
        <v>0.41</v>
      </c>
    </row>
    <row r="131" spans="1:10" ht="15.75" thickBot="1">
      <c r="A131" s="2">
        <v>12140</v>
      </c>
      <c r="B131" s="8" t="s">
        <v>590</v>
      </c>
      <c r="C131" s="8" t="s">
        <v>590</v>
      </c>
      <c r="D131" s="8" t="s">
        <v>54</v>
      </c>
      <c r="E131" s="9">
        <v>23.55</v>
      </c>
      <c r="F131" s="10">
        <v>0.06</v>
      </c>
      <c r="G131" s="18">
        <v>0.11</v>
      </c>
      <c r="H131" s="26">
        <v>0.11</v>
      </c>
      <c r="I131" s="25">
        <v>1.29</v>
      </c>
      <c r="J131" s="30">
        <v>0.65</v>
      </c>
    </row>
    <row r="132" spans="1:10" ht="15.75" thickBot="1">
      <c r="A132" s="2">
        <v>12141</v>
      </c>
      <c r="B132" s="8" t="s">
        <v>712</v>
      </c>
      <c r="C132" s="8" t="s">
        <v>712</v>
      </c>
      <c r="D132" s="8" t="s">
        <v>673</v>
      </c>
      <c r="E132" s="9">
        <v>0.99</v>
      </c>
      <c r="F132" s="10">
        <v>0.87</v>
      </c>
      <c r="G132" s="18">
        <v>0.87</v>
      </c>
      <c r="H132" s="26">
        <v>0.87</v>
      </c>
      <c r="I132" s="25">
        <v>0.82</v>
      </c>
      <c r="J132" s="30">
        <v>0.82</v>
      </c>
    </row>
    <row r="133" spans="1:10">
      <c r="A133" s="2">
        <v>12142</v>
      </c>
      <c r="B133" s="8" t="s">
        <v>177</v>
      </c>
      <c r="C133" s="8" t="s">
        <v>266</v>
      </c>
      <c r="D133" s="8" t="s">
        <v>10</v>
      </c>
      <c r="E133" s="9">
        <v>4.55</v>
      </c>
      <c r="F133" s="10">
        <v>0</v>
      </c>
      <c r="G133" s="18">
        <v>0.14000000000000001</v>
      </c>
      <c r="H133" s="26">
        <v>0.08</v>
      </c>
      <c r="I133" s="24">
        <v>7.0000000000000007E-2</v>
      </c>
      <c r="J133" s="30">
        <v>0.05</v>
      </c>
    </row>
    <row r="134" spans="1:10">
      <c r="A134" s="2">
        <v>12143</v>
      </c>
      <c r="B134" s="8" t="s">
        <v>364</v>
      </c>
      <c r="C134" s="8" t="s">
        <v>435</v>
      </c>
      <c r="D134" s="8" t="s">
        <v>11</v>
      </c>
      <c r="E134" s="9">
        <v>591.65</v>
      </c>
      <c r="F134" s="15">
        <f>57893618/10^6</f>
        <v>57.893617999999996</v>
      </c>
      <c r="G134" s="18">
        <v>58.73</v>
      </c>
      <c r="H134" s="26">
        <v>54.42</v>
      </c>
      <c r="I134" s="25">
        <f>56037766/10^6</f>
        <v>56.037765999999998</v>
      </c>
      <c r="J134" s="30">
        <f>53050784/10^6</f>
        <v>53.050784</v>
      </c>
    </row>
    <row r="135" spans="1:10" ht="15.75" thickBot="1">
      <c r="A135" s="2">
        <v>12145</v>
      </c>
      <c r="B135" s="8" t="s">
        <v>350</v>
      </c>
      <c r="C135" s="8" t="s">
        <v>436</v>
      </c>
      <c r="D135" s="8" t="s">
        <v>27</v>
      </c>
      <c r="E135" s="9">
        <v>5.99</v>
      </c>
      <c r="F135" s="15">
        <f>200215/10^6</f>
        <v>0.200215</v>
      </c>
      <c r="G135" s="18">
        <v>0.23</v>
      </c>
      <c r="H135" s="26">
        <v>0.22</v>
      </c>
      <c r="I135" s="24">
        <v>0.19</v>
      </c>
      <c r="J135" s="30">
        <v>0.19</v>
      </c>
    </row>
    <row r="136" spans="1:10" ht="15.75" thickBot="1">
      <c r="A136" s="2">
        <v>12146</v>
      </c>
      <c r="B136" s="8" t="s">
        <v>595</v>
      </c>
      <c r="C136" s="8" t="s">
        <v>628</v>
      </c>
      <c r="D136" s="8" t="s">
        <v>55</v>
      </c>
      <c r="E136" s="9">
        <v>4.0199999999999996</v>
      </c>
      <c r="F136" s="10">
        <v>0</v>
      </c>
      <c r="G136" s="18">
        <v>0</v>
      </c>
      <c r="H136" s="26">
        <v>0</v>
      </c>
      <c r="I136" s="25">
        <v>0</v>
      </c>
      <c r="J136" s="31">
        <v>0</v>
      </c>
    </row>
    <row r="137" spans="1:10" ht="15.75" thickBot="1">
      <c r="A137" s="2">
        <v>12147</v>
      </c>
      <c r="B137" s="8" t="s">
        <v>591</v>
      </c>
      <c r="C137" s="8" t="s">
        <v>591</v>
      </c>
      <c r="D137" s="8" t="s">
        <v>54</v>
      </c>
      <c r="E137" s="9">
        <v>3.82</v>
      </c>
      <c r="F137" s="10">
        <v>0</v>
      </c>
      <c r="G137" s="18">
        <v>0</v>
      </c>
      <c r="H137" s="26">
        <v>0</v>
      </c>
      <c r="I137" s="24">
        <v>0</v>
      </c>
      <c r="J137" s="31">
        <v>0.66</v>
      </c>
    </row>
    <row r="138" spans="1:10" ht="15.75" thickBot="1">
      <c r="A138" s="2">
        <v>12148</v>
      </c>
      <c r="B138" s="8" t="s">
        <v>191</v>
      </c>
      <c r="C138" s="8" t="s">
        <v>267</v>
      </c>
      <c r="D138" s="8" t="s">
        <v>18</v>
      </c>
      <c r="E138" s="9">
        <v>12.17</v>
      </c>
      <c r="F138" s="10">
        <v>7.54</v>
      </c>
      <c r="G138" s="18">
        <v>8.1999999999999993</v>
      </c>
      <c r="H138" s="26">
        <v>8.0399999999999991</v>
      </c>
      <c r="I138" s="24">
        <v>8.15</v>
      </c>
      <c r="J138" s="30">
        <v>7.91</v>
      </c>
    </row>
    <row r="139" spans="1:10" ht="15.75" thickBot="1">
      <c r="A139" s="2">
        <v>12150</v>
      </c>
      <c r="B139" s="8" t="s">
        <v>103</v>
      </c>
      <c r="C139" s="8" t="s">
        <v>104</v>
      </c>
      <c r="D139" s="8" t="s">
        <v>5</v>
      </c>
      <c r="E139" s="9">
        <v>5.04</v>
      </c>
      <c r="F139" s="10">
        <v>2.02</v>
      </c>
      <c r="G139" s="18">
        <v>2.02</v>
      </c>
      <c r="H139" s="26">
        <v>2.02</v>
      </c>
      <c r="I139" s="25">
        <v>2.02</v>
      </c>
      <c r="J139" s="31">
        <v>2.02</v>
      </c>
    </row>
    <row r="140" spans="1:10" ht="15.75" thickBot="1">
      <c r="A140" s="2">
        <v>12151</v>
      </c>
      <c r="B140" s="8" t="s">
        <v>193</v>
      </c>
      <c r="C140" s="8" t="s">
        <v>268</v>
      </c>
      <c r="D140" s="8" t="s">
        <v>17</v>
      </c>
      <c r="E140" s="9">
        <v>5.01</v>
      </c>
      <c r="F140" s="10">
        <v>0.17</v>
      </c>
      <c r="G140" s="18">
        <v>0.17</v>
      </c>
      <c r="H140" s="26">
        <v>0.17</v>
      </c>
      <c r="I140" s="24">
        <v>0.17</v>
      </c>
      <c r="J140" s="30">
        <v>0.17</v>
      </c>
    </row>
    <row r="141" spans="1:10" ht="15.75" thickBot="1">
      <c r="A141" s="2">
        <v>12152</v>
      </c>
      <c r="B141" s="8" t="s">
        <v>194</v>
      </c>
      <c r="C141" s="8" t="s">
        <v>269</v>
      </c>
      <c r="D141" s="8" t="s">
        <v>12</v>
      </c>
      <c r="E141" s="9">
        <v>13.2</v>
      </c>
      <c r="F141" s="10">
        <v>1.4</v>
      </c>
      <c r="G141" s="18">
        <v>1.73</v>
      </c>
      <c r="H141" s="26">
        <v>1.68</v>
      </c>
      <c r="I141" s="24">
        <v>1.98</v>
      </c>
      <c r="J141" s="30">
        <v>2.2000000000000002</v>
      </c>
    </row>
    <row r="142" spans="1:10" ht="15.75" thickBot="1">
      <c r="A142" s="2">
        <v>12153</v>
      </c>
      <c r="B142" s="8" t="s">
        <v>195</v>
      </c>
      <c r="C142" s="8" t="s">
        <v>270</v>
      </c>
      <c r="D142" s="8" t="s">
        <v>15</v>
      </c>
      <c r="E142" s="9">
        <v>1.77</v>
      </c>
      <c r="F142" s="10">
        <v>0.27</v>
      </c>
      <c r="G142" s="18">
        <v>0.36</v>
      </c>
      <c r="H142" s="26">
        <v>0.34</v>
      </c>
      <c r="I142" s="24">
        <v>0.33</v>
      </c>
      <c r="J142" s="30">
        <v>0.3</v>
      </c>
    </row>
    <row r="143" spans="1:10" ht="15.75" thickBot="1">
      <c r="A143" s="4">
        <v>12154</v>
      </c>
      <c r="B143" s="8" t="s">
        <v>110</v>
      </c>
      <c r="C143" s="8" t="s">
        <v>110</v>
      </c>
      <c r="D143" s="8" t="s">
        <v>674</v>
      </c>
      <c r="E143" s="9">
        <v>2.5</v>
      </c>
      <c r="F143" s="10">
        <v>0.1</v>
      </c>
      <c r="G143" s="18">
        <v>0.1</v>
      </c>
      <c r="H143" s="26">
        <v>0.1</v>
      </c>
      <c r="I143" s="25">
        <v>0.1</v>
      </c>
      <c r="J143" s="30">
        <v>0.1</v>
      </c>
    </row>
    <row r="144" spans="1:10" ht="15.75" thickBot="1">
      <c r="A144" s="2">
        <v>12155</v>
      </c>
      <c r="B144" s="8" t="s">
        <v>591</v>
      </c>
      <c r="C144" s="8" t="s">
        <v>629</v>
      </c>
      <c r="D144" s="8" t="s">
        <v>54</v>
      </c>
      <c r="E144" s="9">
        <v>10.32</v>
      </c>
      <c r="F144" s="10">
        <v>0</v>
      </c>
      <c r="G144" s="18">
        <v>0</v>
      </c>
      <c r="H144" s="26">
        <v>0</v>
      </c>
      <c r="I144" s="24">
        <v>0.96</v>
      </c>
      <c r="J144" s="30">
        <v>6.07</v>
      </c>
    </row>
    <row r="145" spans="1:10" ht="15.75" thickBot="1">
      <c r="A145" s="2">
        <v>12157</v>
      </c>
      <c r="B145" s="8" t="s">
        <v>501</v>
      </c>
      <c r="C145" s="8" t="s">
        <v>529</v>
      </c>
      <c r="D145" s="8" t="s">
        <v>41</v>
      </c>
      <c r="E145" s="9">
        <v>2.0299999999999998</v>
      </c>
      <c r="F145" s="10">
        <v>0</v>
      </c>
      <c r="G145" s="18">
        <v>0</v>
      </c>
      <c r="H145" s="26">
        <v>0</v>
      </c>
      <c r="I145" s="25">
        <v>0</v>
      </c>
      <c r="J145" s="30">
        <v>0</v>
      </c>
    </row>
    <row r="146" spans="1:10" ht="15.75" thickBot="1">
      <c r="A146" s="2">
        <v>12159</v>
      </c>
      <c r="B146" s="8" t="s">
        <v>196</v>
      </c>
      <c r="C146" s="8" t="s">
        <v>271</v>
      </c>
      <c r="D146" s="8" t="s">
        <v>21</v>
      </c>
      <c r="E146" s="9">
        <v>254</v>
      </c>
      <c r="F146" s="10">
        <v>33.799999999999997</v>
      </c>
      <c r="G146" s="18">
        <v>39.119999999999997</v>
      </c>
      <c r="H146" s="26">
        <v>37.75</v>
      </c>
      <c r="I146" s="24">
        <v>37.03</v>
      </c>
      <c r="J146" s="31">
        <v>39.619999999999997</v>
      </c>
    </row>
    <row r="147" spans="1:10">
      <c r="A147" s="2">
        <v>12160</v>
      </c>
      <c r="B147" s="8" t="s">
        <v>183</v>
      </c>
      <c r="C147" s="8" t="s">
        <v>272</v>
      </c>
      <c r="D147" s="8" t="s">
        <v>19</v>
      </c>
      <c r="E147" s="9">
        <v>10.39</v>
      </c>
      <c r="F147" s="10">
        <v>0.19</v>
      </c>
      <c r="G147" s="18">
        <v>0.96</v>
      </c>
      <c r="H147" s="26">
        <v>0.89</v>
      </c>
      <c r="I147" s="25">
        <v>0.84</v>
      </c>
      <c r="J147" s="31">
        <v>0.84</v>
      </c>
    </row>
    <row r="148" spans="1:10">
      <c r="A148" s="2">
        <v>12161</v>
      </c>
      <c r="B148" s="8" t="s">
        <v>366</v>
      </c>
      <c r="C148" s="8" t="s">
        <v>366</v>
      </c>
      <c r="D148" s="8" t="s">
        <v>11</v>
      </c>
      <c r="E148" s="9">
        <v>2.0099999999999998</v>
      </c>
      <c r="F148" s="15">
        <f>330762/10^6</f>
        <v>0.330762</v>
      </c>
      <c r="G148" s="18">
        <v>0.81</v>
      </c>
      <c r="H148" s="26">
        <v>0.78</v>
      </c>
      <c r="I148" s="24">
        <v>0.89</v>
      </c>
      <c r="J148" s="30">
        <v>0.82</v>
      </c>
    </row>
    <row r="149" spans="1:10" ht="15.75" thickBot="1">
      <c r="A149" s="2">
        <v>12162</v>
      </c>
      <c r="B149" s="8" t="s">
        <v>687</v>
      </c>
      <c r="C149" s="8" t="s">
        <v>783</v>
      </c>
      <c r="D149" s="8" t="s">
        <v>9</v>
      </c>
      <c r="E149" s="9">
        <v>0.46</v>
      </c>
      <c r="F149" s="15">
        <f>3000/10^6</f>
        <v>3.0000000000000001E-3</v>
      </c>
      <c r="G149" s="18">
        <v>0</v>
      </c>
      <c r="H149" s="26">
        <v>0</v>
      </c>
      <c r="I149" s="24">
        <v>0</v>
      </c>
      <c r="J149" s="31">
        <v>0</v>
      </c>
    </row>
    <row r="150" spans="1:10">
      <c r="A150" s="2">
        <v>12163</v>
      </c>
      <c r="B150" s="8" t="s">
        <v>592</v>
      </c>
      <c r="C150" s="8" t="s">
        <v>592</v>
      </c>
      <c r="D150" s="8" t="s">
        <v>55</v>
      </c>
      <c r="E150" s="9">
        <v>5.19</v>
      </c>
      <c r="F150" s="10">
        <v>3.51</v>
      </c>
      <c r="G150" s="18">
        <v>3.33</v>
      </c>
      <c r="H150" s="26">
        <v>3.33</v>
      </c>
      <c r="I150" s="25">
        <v>3.13</v>
      </c>
      <c r="J150" s="30">
        <v>4.8499999999999996</v>
      </c>
    </row>
    <row r="151" spans="1:10" ht="15.75" thickBot="1">
      <c r="A151" s="2">
        <v>12165</v>
      </c>
      <c r="B151" s="8" t="s">
        <v>362</v>
      </c>
      <c r="C151" s="8" t="s">
        <v>437</v>
      </c>
      <c r="D151" s="8" t="s">
        <v>34</v>
      </c>
      <c r="E151" s="9">
        <v>36.83</v>
      </c>
      <c r="F151" s="15">
        <f>1078870/10^6</f>
        <v>1.07887</v>
      </c>
      <c r="G151" s="18">
        <v>1.36</v>
      </c>
      <c r="H151" s="26">
        <v>1.04</v>
      </c>
      <c r="I151" s="25">
        <f>1439670/10^6</f>
        <v>1.43967</v>
      </c>
      <c r="J151" s="30">
        <f>1250250/10^6</f>
        <v>1.2502500000000001</v>
      </c>
    </row>
    <row r="152" spans="1:10">
      <c r="A152" s="2">
        <v>12164</v>
      </c>
      <c r="B152" s="8" t="s">
        <v>585</v>
      </c>
      <c r="C152" s="8" t="s">
        <v>630</v>
      </c>
      <c r="D152" s="8" t="s">
        <v>54</v>
      </c>
      <c r="E152" s="9">
        <v>2400</v>
      </c>
      <c r="F152" s="10">
        <v>510.66</v>
      </c>
      <c r="G152" s="18">
        <v>489.55</v>
      </c>
      <c r="H152" s="26">
        <v>491.8</v>
      </c>
      <c r="I152" s="24">
        <v>479.97</v>
      </c>
      <c r="J152" s="31">
        <v>558.32000000000005</v>
      </c>
    </row>
    <row r="153" spans="1:10" ht="15.75" thickBot="1">
      <c r="A153" s="2">
        <v>12166</v>
      </c>
      <c r="B153" s="8" t="s">
        <v>356</v>
      </c>
      <c r="C153" s="8" t="s">
        <v>438</v>
      </c>
      <c r="D153" s="8" t="s">
        <v>33</v>
      </c>
      <c r="E153" s="9">
        <v>255</v>
      </c>
      <c r="F153" s="15">
        <f>16561655/10^6</f>
        <v>16.561654999999998</v>
      </c>
      <c r="G153" s="18">
        <v>16.329999999999998</v>
      </c>
      <c r="H153" s="26">
        <v>15.43</v>
      </c>
      <c r="I153" s="25">
        <f>20146435/10^6</f>
        <v>20.146435</v>
      </c>
      <c r="J153" s="31">
        <f>20652980/10^6</f>
        <v>20.652979999999999</v>
      </c>
    </row>
    <row r="154" spans="1:10" ht="15.75" thickBot="1">
      <c r="A154" s="2">
        <v>12167</v>
      </c>
      <c r="B154" s="8" t="s">
        <v>499</v>
      </c>
      <c r="C154" s="8" t="s">
        <v>530</v>
      </c>
      <c r="D154" s="8" t="s">
        <v>45</v>
      </c>
      <c r="E154" s="9">
        <v>27.67</v>
      </c>
      <c r="F154" s="10">
        <v>0.13</v>
      </c>
      <c r="G154" s="18">
        <v>0</v>
      </c>
      <c r="H154" s="26">
        <v>0</v>
      </c>
      <c r="I154" s="25">
        <v>0</v>
      </c>
      <c r="J154" s="31">
        <v>0</v>
      </c>
    </row>
    <row r="155" spans="1:10" ht="15.75" thickBot="1">
      <c r="A155" s="2">
        <v>12168</v>
      </c>
      <c r="B155" s="8" t="s">
        <v>495</v>
      </c>
      <c r="C155" s="8" t="s">
        <v>531</v>
      </c>
      <c r="D155" s="8" t="s">
        <v>43</v>
      </c>
      <c r="E155" s="9">
        <v>504</v>
      </c>
      <c r="F155" s="10">
        <v>19.190000000000001</v>
      </c>
      <c r="G155" s="18">
        <v>19.190000000000001</v>
      </c>
      <c r="H155" s="26">
        <v>18.3</v>
      </c>
      <c r="I155" s="25">
        <v>18.3</v>
      </c>
      <c r="J155" s="31">
        <v>24.8</v>
      </c>
    </row>
    <row r="156" spans="1:10" ht="15.75" thickBot="1">
      <c r="A156" s="2">
        <v>12169</v>
      </c>
      <c r="B156" s="8" t="s">
        <v>493</v>
      </c>
      <c r="C156" s="8" t="s">
        <v>532</v>
      </c>
      <c r="D156" s="8" t="s">
        <v>39</v>
      </c>
      <c r="E156" s="9">
        <v>13.6</v>
      </c>
      <c r="F156" s="10">
        <v>0</v>
      </c>
      <c r="G156" s="18">
        <v>0</v>
      </c>
      <c r="H156" s="26">
        <v>0</v>
      </c>
      <c r="I156" s="24">
        <v>0</v>
      </c>
      <c r="J156" s="31">
        <v>0</v>
      </c>
    </row>
    <row r="157" spans="1:10" ht="15.75" thickBot="1">
      <c r="A157" s="2">
        <v>12170</v>
      </c>
      <c r="B157" s="8" t="s">
        <v>488</v>
      </c>
      <c r="C157" s="8" t="s">
        <v>533</v>
      </c>
      <c r="D157" s="8" t="s">
        <v>41</v>
      </c>
      <c r="E157" s="9">
        <v>17.78</v>
      </c>
      <c r="F157" s="10">
        <v>1.84</v>
      </c>
      <c r="G157" s="18">
        <v>1.84</v>
      </c>
      <c r="H157" s="26">
        <v>0.5</v>
      </c>
      <c r="I157" s="24">
        <v>0.35</v>
      </c>
      <c r="J157" s="30">
        <v>0</v>
      </c>
    </row>
    <row r="158" spans="1:10">
      <c r="A158" s="2">
        <v>12171</v>
      </c>
      <c r="B158" s="8" t="s">
        <v>86</v>
      </c>
      <c r="C158" s="8" t="s">
        <v>534</v>
      </c>
      <c r="D158" s="8" t="s">
        <v>45</v>
      </c>
      <c r="E158" s="9">
        <v>339.33</v>
      </c>
      <c r="F158" s="10">
        <v>10.83</v>
      </c>
      <c r="G158" s="18">
        <v>10.83</v>
      </c>
      <c r="H158" s="26">
        <v>10.83</v>
      </c>
      <c r="I158" s="25">
        <v>9.56</v>
      </c>
      <c r="J158" s="31">
        <v>9.56</v>
      </c>
    </row>
    <row r="159" spans="1:10">
      <c r="A159" s="2">
        <v>12172</v>
      </c>
      <c r="B159" s="8" t="s">
        <v>353</v>
      </c>
      <c r="C159" s="8" t="s">
        <v>439</v>
      </c>
      <c r="D159" s="8" t="s">
        <v>14</v>
      </c>
      <c r="E159" s="9">
        <v>411.69</v>
      </c>
      <c r="F159" s="15">
        <f>51131208/10^6</f>
        <v>51.131208000000001</v>
      </c>
      <c r="G159" s="18">
        <v>48.83</v>
      </c>
      <c r="H159" s="26">
        <v>46.45</v>
      </c>
      <c r="I159" s="25">
        <f>42927474/10^6</f>
        <v>42.927473999999997</v>
      </c>
      <c r="J159" s="31">
        <f>40521708/10^6</f>
        <v>40.521707999999997</v>
      </c>
    </row>
    <row r="160" spans="1:10" ht="15.75" thickBot="1">
      <c r="A160" s="2">
        <v>12173</v>
      </c>
      <c r="B160" s="8" t="s">
        <v>351</v>
      </c>
      <c r="C160" s="8" t="s">
        <v>440</v>
      </c>
      <c r="D160" s="8" t="s">
        <v>34</v>
      </c>
      <c r="E160" s="9">
        <v>16.579999999999998</v>
      </c>
      <c r="F160" s="15">
        <f>392625/10^6</f>
        <v>0.392625</v>
      </c>
      <c r="G160" s="18">
        <v>0.08</v>
      </c>
      <c r="H160" s="26">
        <v>0.03</v>
      </c>
      <c r="I160" s="25">
        <v>0.01</v>
      </c>
      <c r="J160" s="31">
        <v>0.01</v>
      </c>
    </row>
    <row r="161" spans="1:10" ht="15.75" thickBot="1">
      <c r="A161" s="2">
        <v>12174</v>
      </c>
      <c r="B161" s="8" t="s">
        <v>601</v>
      </c>
      <c r="C161" s="8" t="s">
        <v>631</v>
      </c>
      <c r="D161" s="8" t="s">
        <v>54</v>
      </c>
      <c r="E161" s="9">
        <v>27.94</v>
      </c>
      <c r="F161" s="10">
        <v>0.15</v>
      </c>
      <c r="G161" s="18">
        <v>0.13</v>
      </c>
      <c r="H161" s="26">
        <v>0.13</v>
      </c>
      <c r="I161" s="24">
        <f>831704/10^6</f>
        <v>0.831704</v>
      </c>
      <c r="J161" s="30">
        <v>0.83</v>
      </c>
    </row>
    <row r="162" spans="1:10" ht="15.75" thickBot="1">
      <c r="A162" s="2">
        <v>12176</v>
      </c>
      <c r="B162" s="8" t="s">
        <v>134</v>
      </c>
      <c r="C162" s="8" t="s">
        <v>136</v>
      </c>
      <c r="D162" s="8" t="s">
        <v>393</v>
      </c>
      <c r="E162" s="9">
        <v>76</v>
      </c>
      <c r="F162" s="10">
        <v>4.0199999999999996</v>
      </c>
      <c r="G162" s="18">
        <v>76</v>
      </c>
      <c r="H162" s="26">
        <v>45.21</v>
      </c>
      <c r="I162" s="24">
        <v>43.82</v>
      </c>
      <c r="J162" s="22">
        <v>7</v>
      </c>
    </row>
    <row r="163" spans="1:10" ht="15.75" thickBot="1">
      <c r="A163" s="2">
        <v>12175</v>
      </c>
      <c r="B163" s="8" t="s">
        <v>563</v>
      </c>
      <c r="C163" s="8" t="s">
        <v>136</v>
      </c>
      <c r="D163" s="8" t="s">
        <v>24</v>
      </c>
      <c r="E163" s="9">
        <v>23.89</v>
      </c>
      <c r="F163" s="10">
        <v>5</v>
      </c>
      <c r="G163" s="18">
        <v>4</v>
      </c>
      <c r="H163" s="26">
        <v>4</v>
      </c>
      <c r="I163" s="24">
        <v>4</v>
      </c>
      <c r="J163" s="31">
        <v>40.42</v>
      </c>
    </row>
    <row r="164" spans="1:10" ht="15.75" thickBot="1">
      <c r="A164" s="2">
        <v>12177</v>
      </c>
      <c r="B164" s="8" t="s">
        <v>197</v>
      </c>
      <c r="C164" s="8" t="s">
        <v>273</v>
      </c>
      <c r="D164" s="8" t="s">
        <v>15</v>
      </c>
      <c r="E164" s="9">
        <v>19</v>
      </c>
      <c r="F164" s="10">
        <v>0.01</v>
      </c>
      <c r="G164" s="18">
        <v>0.01</v>
      </c>
      <c r="H164" s="26">
        <v>0.01</v>
      </c>
      <c r="I164" s="25">
        <v>0.03</v>
      </c>
      <c r="J164" s="31">
        <v>0.03</v>
      </c>
    </row>
    <row r="165" spans="1:10">
      <c r="A165" s="2">
        <v>12178</v>
      </c>
      <c r="B165" s="8" t="s">
        <v>198</v>
      </c>
      <c r="C165" s="8" t="s">
        <v>274</v>
      </c>
      <c r="D165" s="8" t="s">
        <v>21</v>
      </c>
      <c r="E165" s="9">
        <v>12.23</v>
      </c>
      <c r="F165" s="10">
        <v>0.16</v>
      </c>
      <c r="G165" s="18">
        <v>0.16</v>
      </c>
      <c r="H165" s="26">
        <v>0.16</v>
      </c>
      <c r="I165" s="25">
        <v>0.16</v>
      </c>
      <c r="J165" s="30">
        <v>0.16</v>
      </c>
    </row>
    <row r="166" spans="1:10" ht="15.75" thickBot="1">
      <c r="A166" s="2">
        <v>12179</v>
      </c>
      <c r="B166" s="8" t="s">
        <v>297</v>
      </c>
      <c r="C166" s="8" t="s">
        <v>441</v>
      </c>
      <c r="D166" s="8" t="s">
        <v>31</v>
      </c>
      <c r="E166" s="9">
        <v>25.74</v>
      </c>
      <c r="F166" s="15">
        <f>0/10^6</f>
        <v>0</v>
      </c>
      <c r="G166" s="18">
        <v>1.1499999999999999</v>
      </c>
      <c r="H166" s="26">
        <v>1.06</v>
      </c>
      <c r="I166" s="24">
        <f>9012900/10^6</f>
        <v>9.0129000000000001</v>
      </c>
      <c r="J166" s="30">
        <v>10.220000000000001</v>
      </c>
    </row>
    <row r="167" spans="1:10" ht="15.75" thickBot="1">
      <c r="A167" s="4">
        <v>12180</v>
      </c>
      <c r="B167" s="8" t="s">
        <v>765</v>
      </c>
      <c r="C167" s="8" t="s">
        <v>760</v>
      </c>
      <c r="D167" s="8" t="s">
        <v>24</v>
      </c>
      <c r="E167" s="9">
        <v>1.83</v>
      </c>
      <c r="F167" s="10">
        <v>0.02</v>
      </c>
      <c r="G167" s="18">
        <v>0.01</v>
      </c>
      <c r="H167" s="26">
        <v>0.01</v>
      </c>
      <c r="I167" s="24">
        <v>0.01</v>
      </c>
      <c r="J167" s="22">
        <v>0.05</v>
      </c>
    </row>
    <row r="168" spans="1:10">
      <c r="A168" s="2">
        <v>12181</v>
      </c>
      <c r="B168" s="8" t="s">
        <v>181</v>
      </c>
      <c r="C168" s="8" t="s">
        <v>275</v>
      </c>
      <c r="D168" s="8" t="s">
        <v>15</v>
      </c>
      <c r="E168" s="9">
        <v>30.1</v>
      </c>
      <c r="F168" s="10">
        <v>0.14000000000000001</v>
      </c>
      <c r="G168" s="18">
        <v>0.14000000000000001</v>
      </c>
      <c r="H168" s="26">
        <v>0.14000000000000001</v>
      </c>
      <c r="I168" s="24">
        <v>0.14000000000000001</v>
      </c>
      <c r="J168" s="31">
        <v>0.14000000000000001</v>
      </c>
    </row>
    <row r="169" spans="1:10" ht="15.75" thickBot="1">
      <c r="A169" s="2">
        <v>12182</v>
      </c>
      <c r="B169" s="8" t="s">
        <v>402</v>
      </c>
      <c r="C169" s="8" t="s">
        <v>442</v>
      </c>
      <c r="D169" s="8" t="s">
        <v>29</v>
      </c>
      <c r="E169" s="9">
        <v>2.06</v>
      </c>
      <c r="F169" s="15">
        <f>35256/10^6</f>
        <v>3.5256000000000003E-2</v>
      </c>
      <c r="G169" s="18">
        <v>0.04</v>
      </c>
      <c r="H169" s="26">
        <v>0.02</v>
      </c>
      <c r="I169" s="24">
        <v>0.01</v>
      </c>
      <c r="J169" s="30">
        <v>0.01</v>
      </c>
    </row>
    <row r="170" spans="1:10" ht="15.75" thickBot="1">
      <c r="A170" s="2">
        <v>12183</v>
      </c>
      <c r="B170" s="8" t="s">
        <v>597</v>
      </c>
      <c r="C170" s="8" t="s">
        <v>632</v>
      </c>
      <c r="D170" s="8" t="s">
        <v>55</v>
      </c>
      <c r="E170" s="9">
        <v>8.9499999999999993</v>
      </c>
      <c r="F170" s="10">
        <v>0.33</v>
      </c>
      <c r="G170" s="18">
        <v>0.22</v>
      </c>
      <c r="H170" s="26">
        <v>0.22</v>
      </c>
      <c r="I170" s="25">
        <v>0.18</v>
      </c>
      <c r="J170" s="31">
        <v>0.19</v>
      </c>
    </row>
    <row r="171" spans="1:10" ht="15.75" thickBot="1">
      <c r="A171" s="2">
        <v>12184</v>
      </c>
      <c r="B171" s="8" t="s">
        <v>199</v>
      </c>
      <c r="C171" s="8" t="s">
        <v>276</v>
      </c>
      <c r="D171" s="8" t="s">
        <v>10</v>
      </c>
      <c r="E171" s="9">
        <v>105</v>
      </c>
      <c r="F171" s="10">
        <v>0.01</v>
      </c>
      <c r="G171" s="18">
        <v>8.2899999999999991</v>
      </c>
      <c r="H171" s="26">
        <v>7.63</v>
      </c>
      <c r="I171" s="25">
        <v>8.0500000000000007</v>
      </c>
      <c r="J171" s="31">
        <v>7.45</v>
      </c>
    </row>
    <row r="172" spans="1:10" ht="15.75" thickBot="1">
      <c r="A172" s="2">
        <v>12186</v>
      </c>
      <c r="B172" s="8" t="s">
        <v>200</v>
      </c>
      <c r="C172" s="8" t="s">
        <v>277</v>
      </c>
      <c r="D172" s="8" t="s">
        <v>18</v>
      </c>
      <c r="E172" s="9">
        <v>118.82</v>
      </c>
      <c r="F172" s="10">
        <v>0.02</v>
      </c>
      <c r="G172" s="18">
        <v>0.02</v>
      </c>
      <c r="H172" s="26">
        <v>0</v>
      </c>
      <c r="I172" s="25">
        <v>0</v>
      </c>
      <c r="J172" s="31">
        <v>0</v>
      </c>
    </row>
    <row r="173" spans="1:10" ht="15.75" thickBot="1">
      <c r="A173" s="2">
        <v>12187</v>
      </c>
      <c r="B173" s="8" t="s">
        <v>173</v>
      </c>
      <c r="C173" s="8" t="s">
        <v>173</v>
      </c>
      <c r="D173" s="8" t="s">
        <v>21</v>
      </c>
      <c r="E173" s="9">
        <v>50.13</v>
      </c>
      <c r="F173" s="10">
        <v>1.75</v>
      </c>
      <c r="G173" s="18">
        <v>2.19</v>
      </c>
      <c r="H173" s="26">
        <v>1.95</v>
      </c>
      <c r="I173" s="24">
        <v>1.93</v>
      </c>
      <c r="J173" s="30">
        <v>2.99</v>
      </c>
    </row>
    <row r="174" spans="1:10" ht="15.75" thickBot="1">
      <c r="A174" s="2">
        <v>12188</v>
      </c>
      <c r="B174" s="8" t="s">
        <v>181</v>
      </c>
      <c r="C174" s="8" t="s">
        <v>278</v>
      </c>
      <c r="D174" s="8" t="s">
        <v>15</v>
      </c>
      <c r="E174" s="9">
        <v>3.4</v>
      </c>
      <c r="F174" s="10">
        <v>0</v>
      </c>
      <c r="G174" s="18">
        <v>0</v>
      </c>
      <c r="H174" s="26">
        <v>0</v>
      </c>
      <c r="I174" s="24">
        <v>0</v>
      </c>
      <c r="J174" s="30">
        <v>0</v>
      </c>
    </row>
    <row r="175" spans="1:10" ht="15.75" thickBot="1">
      <c r="A175" s="2">
        <v>12189</v>
      </c>
      <c r="B175" s="8" t="s">
        <v>138</v>
      </c>
      <c r="C175" s="8" t="s">
        <v>137</v>
      </c>
      <c r="D175" s="8" t="s">
        <v>778</v>
      </c>
      <c r="E175" s="9">
        <v>24.19</v>
      </c>
      <c r="F175" s="10">
        <v>18.600000000000001</v>
      </c>
      <c r="G175" s="18">
        <v>34.25</v>
      </c>
      <c r="H175" s="26">
        <v>32.57</v>
      </c>
      <c r="I175" s="25">
        <v>31.85</v>
      </c>
      <c r="J175" s="30">
        <v>30.24</v>
      </c>
    </row>
    <row r="176" spans="1:10">
      <c r="A176" s="2">
        <v>12190</v>
      </c>
      <c r="B176" s="8" t="s">
        <v>189</v>
      </c>
      <c r="C176" s="8" t="s">
        <v>279</v>
      </c>
      <c r="D176" s="8" t="s">
        <v>17</v>
      </c>
      <c r="E176" s="9">
        <v>33.020000000000003</v>
      </c>
      <c r="F176" s="10">
        <v>1.39</v>
      </c>
      <c r="G176" s="18">
        <v>1.47</v>
      </c>
      <c r="H176" s="26">
        <v>1.38</v>
      </c>
      <c r="I176" s="24">
        <v>1.36</v>
      </c>
      <c r="J176" s="31">
        <v>1.37</v>
      </c>
    </row>
    <row r="177" spans="1:10">
      <c r="A177" s="2">
        <v>12191</v>
      </c>
      <c r="B177" s="8" t="s">
        <v>348</v>
      </c>
      <c r="C177" s="8" t="s">
        <v>443</v>
      </c>
      <c r="D177" s="8" t="s">
        <v>11</v>
      </c>
      <c r="E177" s="9">
        <v>3.52</v>
      </c>
      <c r="F177" s="15">
        <f>420290/10^6</f>
        <v>0.42029</v>
      </c>
      <c r="G177" s="18">
        <v>0.44</v>
      </c>
      <c r="H177" s="26">
        <v>0.41</v>
      </c>
      <c r="I177" s="24">
        <f>450597/10^6</f>
        <v>0.45059700000000003</v>
      </c>
      <c r="J177" s="30">
        <v>0.5</v>
      </c>
    </row>
    <row r="178" spans="1:10">
      <c r="A178" s="2">
        <v>12193</v>
      </c>
      <c r="B178" s="8" t="s">
        <v>694</v>
      </c>
      <c r="C178" s="8" t="s">
        <v>731</v>
      </c>
      <c r="D178" s="8" t="s">
        <v>36</v>
      </c>
      <c r="E178" s="9">
        <v>0.47</v>
      </c>
      <c r="F178" s="15">
        <f>3148/10^6</f>
        <v>3.1480000000000002E-3</v>
      </c>
      <c r="G178" s="18">
        <v>0</v>
      </c>
      <c r="H178" s="26">
        <v>0</v>
      </c>
      <c r="I178" s="25">
        <v>0.15</v>
      </c>
      <c r="J178" s="30">
        <v>0.27</v>
      </c>
    </row>
    <row r="179" spans="1:10" ht="15.75" thickBot="1">
      <c r="A179" s="2">
        <v>12196</v>
      </c>
      <c r="B179" s="8" t="s">
        <v>745</v>
      </c>
      <c r="C179" s="8" t="s">
        <v>744</v>
      </c>
      <c r="D179" s="8" t="s">
        <v>25</v>
      </c>
      <c r="E179" s="9">
        <v>1.45</v>
      </c>
      <c r="F179" s="15">
        <f>546806/10^6</f>
        <v>0.54680600000000001</v>
      </c>
      <c r="G179" s="18">
        <v>0.53</v>
      </c>
      <c r="H179" s="26">
        <v>0.53</v>
      </c>
      <c r="I179" s="24">
        <v>0.51</v>
      </c>
      <c r="J179" s="30">
        <v>0.51</v>
      </c>
    </row>
    <row r="180" spans="1:10" ht="15.75" thickBot="1">
      <c r="A180" s="2">
        <v>12197</v>
      </c>
      <c r="B180" s="8" t="s">
        <v>201</v>
      </c>
      <c r="C180" s="8" t="s">
        <v>201</v>
      </c>
      <c r="D180" s="8" t="s">
        <v>17</v>
      </c>
      <c r="E180" s="9">
        <v>322.2</v>
      </c>
      <c r="F180" s="10">
        <v>7</v>
      </c>
      <c r="G180" s="18">
        <v>8.49</v>
      </c>
      <c r="H180" s="26">
        <v>8.07</v>
      </c>
      <c r="I180" s="24">
        <v>8.4</v>
      </c>
      <c r="J180" s="31">
        <v>10.67</v>
      </c>
    </row>
    <row r="181" spans="1:10">
      <c r="A181" s="2">
        <v>12198</v>
      </c>
      <c r="B181" s="8" t="s">
        <v>175</v>
      </c>
      <c r="C181" s="8" t="s">
        <v>280</v>
      </c>
      <c r="D181" s="8" t="s">
        <v>22</v>
      </c>
      <c r="E181" s="9">
        <v>4</v>
      </c>
      <c r="F181" s="10">
        <v>0.15</v>
      </c>
      <c r="G181" s="18">
        <v>0.36</v>
      </c>
      <c r="H181" s="26">
        <v>0.32</v>
      </c>
      <c r="I181" s="24">
        <v>0.27</v>
      </c>
      <c r="J181" s="31">
        <v>0.24</v>
      </c>
    </row>
    <row r="182" spans="1:10" ht="15.75" thickBot="1">
      <c r="A182" s="2">
        <v>12200</v>
      </c>
      <c r="B182" s="8" t="s">
        <v>660</v>
      </c>
      <c r="C182" s="8" t="s">
        <v>746</v>
      </c>
      <c r="D182" s="8" t="s">
        <v>672</v>
      </c>
      <c r="E182" s="9">
        <v>0.57999999999999996</v>
      </c>
      <c r="F182" s="11">
        <v>0.51</v>
      </c>
      <c r="G182" s="18">
        <v>0.51</v>
      </c>
      <c r="H182" s="26">
        <v>0.51</v>
      </c>
      <c r="I182" s="25">
        <v>0.5</v>
      </c>
      <c r="J182" s="30">
        <v>0.59</v>
      </c>
    </row>
    <row r="183" spans="1:10" ht="15.75" thickBot="1">
      <c r="A183" s="2">
        <v>12199</v>
      </c>
      <c r="B183" s="8" t="s">
        <v>376</v>
      </c>
      <c r="C183" s="8" t="s">
        <v>746</v>
      </c>
      <c r="D183" s="8" t="s">
        <v>11</v>
      </c>
      <c r="E183" s="9">
        <v>1.35</v>
      </c>
      <c r="F183" s="13">
        <f>567902/10^6</f>
        <v>0.56790200000000002</v>
      </c>
      <c r="G183" s="18">
        <v>0.55000000000000004</v>
      </c>
      <c r="H183" s="26">
        <v>0.54</v>
      </c>
      <c r="I183" s="25">
        <f>604339/10^6</f>
        <v>0.60433899999999996</v>
      </c>
      <c r="J183" s="31">
        <v>0.5</v>
      </c>
    </row>
    <row r="184" spans="1:10" ht="15.75" thickBot="1">
      <c r="A184" s="2">
        <v>12202</v>
      </c>
      <c r="B184" s="8" t="s">
        <v>202</v>
      </c>
      <c r="C184" s="8" t="s">
        <v>281</v>
      </c>
      <c r="D184" s="8" t="s">
        <v>16</v>
      </c>
      <c r="E184" s="9">
        <v>2.39</v>
      </c>
      <c r="F184" s="10">
        <v>0.11</v>
      </c>
      <c r="G184" s="18">
        <v>0.24</v>
      </c>
      <c r="H184" s="26">
        <v>0.46</v>
      </c>
      <c r="I184" s="25">
        <v>0.81</v>
      </c>
      <c r="J184" s="31">
        <v>0.8</v>
      </c>
    </row>
    <row r="185" spans="1:10">
      <c r="A185" s="2">
        <v>12204</v>
      </c>
      <c r="B185" s="8" t="s">
        <v>105</v>
      </c>
      <c r="C185" s="8" t="s">
        <v>106</v>
      </c>
      <c r="D185" s="8" t="s">
        <v>35</v>
      </c>
      <c r="E185" s="9">
        <v>8.3699999999999992</v>
      </c>
      <c r="F185" s="10">
        <v>3.35</v>
      </c>
      <c r="G185" s="18">
        <v>3.35</v>
      </c>
      <c r="H185" s="26">
        <v>3.35</v>
      </c>
      <c r="I185" s="24">
        <v>3.35</v>
      </c>
      <c r="J185" s="30">
        <v>3.35</v>
      </c>
    </row>
    <row r="186" spans="1:10" ht="15.75" thickBot="1">
      <c r="A186" s="2">
        <v>12206</v>
      </c>
      <c r="B186" s="8" t="s">
        <v>367</v>
      </c>
      <c r="C186" s="8" t="s">
        <v>367</v>
      </c>
      <c r="D186" s="8" t="s">
        <v>20</v>
      </c>
      <c r="E186" s="9">
        <v>3.68</v>
      </c>
      <c r="F186" s="15">
        <f>2000/10^6</f>
        <v>2E-3</v>
      </c>
      <c r="G186" s="18">
        <v>0</v>
      </c>
      <c r="H186" s="26">
        <v>0.81</v>
      </c>
      <c r="I186" s="24">
        <v>0.81</v>
      </c>
      <c r="J186" s="31">
        <v>0</v>
      </c>
    </row>
    <row r="187" spans="1:10" ht="15.75" thickBot="1">
      <c r="A187" s="2">
        <v>12207</v>
      </c>
      <c r="B187" s="8" t="s">
        <v>491</v>
      </c>
      <c r="C187" s="8" t="s">
        <v>367</v>
      </c>
      <c r="D187" s="8" t="s">
        <v>37</v>
      </c>
      <c r="E187" s="9">
        <v>3.85</v>
      </c>
      <c r="F187" s="10">
        <v>0</v>
      </c>
      <c r="G187" s="18">
        <v>0</v>
      </c>
      <c r="H187" s="26">
        <v>0</v>
      </c>
      <c r="I187" s="25">
        <v>0</v>
      </c>
      <c r="J187" s="31">
        <v>0.81</v>
      </c>
    </row>
    <row r="188" spans="1:10" ht="15.75" thickBot="1">
      <c r="A188" s="2">
        <v>12208</v>
      </c>
      <c r="B188" s="8" t="s">
        <v>512</v>
      </c>
      <c r="C188" s="8" t="s">
        <v>535</v>
      </c>
      <c r="D188" s="8" t="s">
        <v>42</v>
      </c>
      <c r="E188" s="9">
        <v>4.8</v>
      </c>
      <c r="F188" s="10">
        <v>0</v>
      </c>
      <c r="G188" s="18">
        <v>0</v>
      </c>
      <c r="H188" s="26">
        <v>0.38</v>
      </c>
      <c r="I188" s="25">
        <v>0.4</v>
      </c>
      <c r="J188" s="31">
        <v>0.51</v>
      </c>
    </row>
    <row r="189" spans="1:10" ht="15.75" thickBot="1">
      <c r="A189" s="2">
        <v>12209</v>
      </c>
      <c r="B189" s="8" t="s">
        <v>564</v>
      </c>
      <c r="C189" s="8" t="s">
        <v>577</v>
      </c>
      <c r="D189" s="8" t="s">
        <v>24</v>
      </c>
      <c r="E189" s="9">
        <v>25.72</v>
      </c>
      <c r="F189" s="10">
        <v>13.91</v>
      </c>
      <c r="G189" s="18">
        <v>12.2</v>
      </c>
      <c r="H189" s="26">
        <v>12.2</v>
      </c>
      <c r="I189" s="25">
        <v>12.2</v>
      </c>
      <c r="J189" s="22">
        <v>25.67</v>
      </c>
    </row>
    <row r="190" spans="1:10" ht="15.75" thickBot="1">
      <c r="A190" s="2">
        <v>12210</v>
      </c>
      <c r="B190" s="8" t="s">
        <v>608</v>
      </c>
      <c r="C190" s="8" t="s">
        <v>633</v>
      </c>
      <c r="D190" s="8" t="s">
        <v>51</v>
      </c>
      <c r="E190" s="9">
        <v>17.600000000000001</v>
      </c>
      <c r="F190" s="10">
        <v>1.1200000000000001</v>
      </c>
      <c r="G190" s="18">
        <v>1.08</v>
      </c>
      <c r="H190" s="26">
        <v>1.08</v>
      </c>
      <c r="I190" s="24">
        <v>0.95</v>
      </c>
      <c r="J190" s="30">
        <v>0.95</v>
      </c>
    </row>
    <row r="191" spans="1:10" ht="15.75" thickBot="1">
      <c r="A191" s="2">
        <v>12211</v>
      </c>
      <c r="B191" s="8" t="s">
        <v>709</v>
      </c>
      <c r="C191" s="8" t="s">
        <v>751</v>
      </c>
      <c r="D191" s="8" t="s">
        <v>675</v>
      </c>
      <c r="E191" s="9">
        <v>7.87</v>
      </c>
      <c r="F191" s="10">
        <v>6.17</v>
      </c>
      <c r="G191" s="18">
        <v>6.17</v>
      </c>
      <c r="H191" s="26">
        <v>4.4400000000000004</v>
      </c>
      <c r="I191" s="24">
        <v>4.4400000000000004</v>
      </c>
      <c r="J191" s="31">
        <v>4.4400000000000004</v>
      </c>
    </row>
    <row r="192" spans="1:10" ht="15.75" thickBot="1">
      <c r="A192" s="2">
        <v>12212</v>
      </c>
      <c r="B192" s="8" t="s">
        <v>500</v>
      </c>
      <c r="C192" s="8" t="s">
        <v>536</v>
      </c>
      <c r="D192" s="8" t="s">
        <v>42</v>
      </c>
      <c r="E192" s="9">
        <v>3.9</v>
      </c>
      <c r="F192" s="10">
        <v>0</v>
      </c>
      <c r="G192" s="18">
        <v>0</v>
      </c>
      <c r="H192" s="26">
        <v>0</v>
      </c>
      <c r="I192" s="24">
        <v>0</v>
      </c>
      <c r="J192" s="30">
        <v>0</v>
      </c>
    </row>
    <row r="193" spans="1:10" ht="15.75" thickBot="1">
      <c r="A193" s="2">
        <v>12216</v>
      </c>
      <c r="B193" s="8" t="s">
        <v>589</v>
      </c>
      <c r="C193" s="8" t="s">
        <v>634</v>
      </c>
      <c r="D193" s="8" t="s">
        <v>54</v>
      </c>
      <c r="E193" s="9">
        <v>81.75</v>
      </c>
      <c r="F193" s="10">
        <v>0.88</v>
      </c>
      <c r="G193" s="18">
        <v>1.1200000000000001</v>
      </c>
      <c r="H193" s="26">
        <v>1.06</v>
      </c>
      <c r="I193" s="25">
        <f>6147500/10^6</f>
        <v>6.1475</v>
      </c>
      <c r="J193" s="30">
        <v>5.74</v>
      </c>
    </row>
    <row r="194" spans="1:10" ht="15.75" thickBot="1">
      <c r="A194" s="2">
        <v>12497</v>
      </c>
      <c r="B194" s="8" t="s">
        <v>698</v>
      </c>
      <c r="C194" s="8" t="s">
        <v>676</v>
      </c>
      <c r="D194" s="8" t="s">
        <v>17</v>
      </c>
      <c r="E194" s="9">
        <v>4.24</v>
      </c>
      <c r="F194" s="10">
        <v>0.67</v>
      </c>
      <c r="G194" s="18">
        <v>1.04</v>
      </c>
      <c r="H194" s="26">
        <v>1.28</v>
      </c>
      <c r="I194" s="24">
        <v>1.92</v>
      </c>
      <c r="J194" s="30">
        <v>2.4500000000000002</v>
      </c>
    </row>
    <row r="195" spans="1:10" ht="15.75" thickBot="1">
      <c r="A195" s="2">
        <v>12217</v>
      </c>
      <c r="B195" s="8" t="s">
        <v>168</v>
      </c>
      <c r="C195" s="8" t="s">
        <v>282</v>
      </c>
      <c r="D195" s="8" t="s">
        <v>13</v>
      </c>
      <c r="E195" s="9">
        <v>6.3</v>
      </c>
      <c r="F195" s="10">
        <v>1.67</v>
      </c>
      <c r="G195" s="18">
        <v>2.08</v>
      </c>
      <c r="H195" s="26">
        <v>1.96</v>
      </c>
      <c r="I195" s="25">
        <v>3.53</v>
      </c>
      <c r="J195" s="31">
        <v>4.54</v>
      </c>
    </row>
    <row r="196" spans="1:10" ht="15.75" thickBot="1">
      <c r="A196" s="6">
        <v>751</v>
      </c>
      <c r="B196" s="8" t="s">
        <v>57</v>
      </c>
      <c r="C196" s="8" t="s">
        <v>58</v>
      </c>
      <c r="D196" s="8" t="s">
        <v>59</v>
      </c>
      <c r="E196" s="9">
        <v>4.3</v>
      </c>
      <c r="F196" s="10" t="s">
        <v>684</v>
      </c>
      <c r="G196" s="3" t="s">
        <v>684</v>
      </c>
      <c r="H196" s="3"/>
      <c r="I196" s="16"/>
      <c r="J196" s="22"/>
    </row>
    <row r="197" spans="1:10" ht="15.75" thickBot="1">
      <c r="A197" s="2">
        <v>12219</v>
      </c>
      <c r="B197" s="8" t="s">
        <v>203</v>
      </c>
      <c r="C197" s="8" t="s">
        <v>283</v>
      </c>
      <c r="D197" s="8" t="s">
        <v>10</v>
      </c>
      <c r="E197" s="9">
        <v>136.76</v>
      </c>
      <c r="F197" s="10">
        <v>22.38</v>
      </c>
      <c r="G197" s="18">
        <v>21.37</v>
      </c>
      <c r="H197" s="26">
        <v>21.52</v>
      </c>
      <c r="I197" s="25">
        <v>26.12</v>
      </c>
      <c r="J197" s="31">
        <v>29.17</v>
      </c>
    </row>
    <row r="198" spans="1:10" ht="15.75" thickBot="1">
      <c r="A198" s="2">
        <v>12220</v>
      </c>
      <c r="B198" s="8" t="s">
        <v>177</v>
      </c>
      <c r="C198" s="8" t="s">
        <v>284</v>
      </c>
      <c r="D198" s="8" t="s">
        <v>10</v>
      </c>
      <c r="E198" s="9">
        <v>116</v>
      </c>
      <c r="F198" s="10">
        <v>3.79</v>
      </c>
      <c r="G198" s="18">
        <v>4.63</v>
      </c>
      <c r="H198" s="26">
        <v>4.17</v>
      </c>
      <c r="I198" s="24">
        <v>4.22</v>
      </c>
      <c r="J198" s="30">
        <v>3.76</v>
      </c>
    </row>
    <row r="199" spans="1:10" ht="15.75" thickBot="1">
      <c r="A199" s="2">
        <v>12221</v>
      </c>
      <c r="B199" s="8" t="s">
        <v>680</v>
      </c>
      <c r="C199" s="8" t="s">
        <v>680</v>
      </c>
      <c r="D199" s="8" t="s">
        <v>677</v>
      </c>
      <c r="E199" s="9">
        <v>0.56999999999999995</v>
      </c>
      <c r="F199" s="10">
        <v>0.23</v>
      </c>
      <c r="G199" s="18">
        <v>0.23</v>
      </c>
      <c r="H199" s="26">
        <v>0.23</v>
      </c>
      <c r="I199" s="25">
        <v>0.23</v>
      </c>
      <c r="J199" s="30">
        <v>0.23</v>
      </c>
    </row>
    <row r="200" spans="1:10" ht="15.75" thickBot="1">
      <c r="A200" s="2">
        <v>12223</v>
      </c>
      <c r="B200" s="8" t="s">
        <v>609</v>
      </c>
      <c r="C200" s="8" t="s">
        <v>659</v>
      </c>
      <c r="D200" s="8" t="s">
        <v>28</v>
      </c>
      <c r="E200" s="9">
        <v>20.65</v>
      </c>
      <c r="F200" s="10">
        <v>0.87</v>
      </c>
      <c r="G200" s="18">
        <v>0.81</v>
      </c>
      <c r="H200" s="26">
        <v>0.81</v>
      </c>
      <c r="I200" s="24">
        <v>0.81</v>
      </c>
      <c r="J200" s="30">
        <v>0.81</v>
      </c>
    </row>
    <row r="201" spans="1:10" ht="15.75" thickBot="1">
      <c r="A201" s="2">
        <v>12224</v>
      </c>
      <c r="B201" s="8" t="s">
        <v>107</v>
      </c>
      <c r="C201" s="8" t="s">
        <v>107</v>
      </c>
      <c r="D201" s="8" t="s">
        <v>7</v>
      </c>
      <c r="E201" s="9">
        <v>19.010000000000002</v>
      </c>
      <c r="F201" s="10">
        <v>9.1199999999999992</v>
      </c>
      <c r="G201" s="18">
        <v>9.1199999999999992</v>
      </c>
      <c r="H201" s="26">
        <v>9.1199999999999992</v>
      </c>
      <c r="I201" s="24">
        <v>9.1199999999999992</v>
      </c>
      <c r="J201" s="30">
        <v>9.1199999999999992</v>
      </c>
    </row>
    <row r="202" spans="1:10">
      <c r="A202" s="4">
        <v>12225</v>
      </c>
      <c r="B202" s="8" t="s">
        <v>766</v>
      </c>
      <c r="C202" s="8" t="s">
        <v>761</v>
      </c>
      <c r="D202" s="8" t="s">
        <v>18</v>
      </c>
      <c r="E202" s="9">
        <v>1.07</v>
      </c>
      <c r="F202" s="10">
        <v>7.0000000000000007E-2</v>
      </c>
      <c r="G202" s="18">
        <v>7.0000000000000007E-2</v>
      </c>
      <c r="H202" s="26">
        <v>7.0000000000000007E-2</v>
      </c>
      <c r="I202" s="24">
        <v>7.0000000000000007E-2</v>
      </c>
      <c r="J202" s="31">
        <v>7.0000000000000007E-2</v>
      </c>
    </row>
    <row r="203" spans="1:10">
      <c r="A203" s="2">
        <v>12226</v>
      </c>
      <c r="B203" s="8" t="s">
        <v>297</v>
      </c>
      <c r="C203" s="8" t="s">
        <v>444</v>
      </c>
      <c r="D203" s="8" t="s">
        <v>31</v>
      </c>
      <c r="E203" s="9">
        <v>17.52</v>
      </c>
      <c r="F203" s="15">
        <f>1060826/10^6</f>
        <v>1.060826</v>
      </c>
      <c r="G203" s="18">
        <v>0.98</v>
      </c>
      <c r="H203" s="26">
        <v>0.89</v>
      </c>
      <c r="I203" s="24">
        <v>2.31</v>
      </c>
      <c r="J203" s="31">
        <v>3.02</v>
      </c>
    </row>
    <row r="204" spans="1:10" ht="15.75" thickBot="1">
      <c r="A204" s="2">
        <v>12227</v>
      </c>
      <c r="B204" s="8" t="s">
        <v>385</v>
      </c>
      <c r="C204" s="8" t="s">
        <v>445</v>
      </c>
      <c r="D204" s="8" t="s">
        <v>11</v>
      </c>
      <c r="E204" s="9">
        <v>6.49</v>
      </c>
      <c r="F204" s="15">
        <f>12933/10^6</f>
        <v>1.2933E-2</v>
      </c>
      <c r="G204" s="18">
        <v>0.01</v>
      </c>
      <c r="H204" s="26">
        <v>0.01</v>
      </c>
      <c r="I204" s="24">
        <v>0.01</v>
      </c>
      <c r="J204" s="31">
        <v>0.1</v>
      </c>
    </row>
    <row r="205" spans="1:10">
      <c r="A205" s="2">
        <v>12228</v>
      </c>
      <c r="B205" s="8" t="s">
        <v>85</v>
      </c>
      <c r="C205" s="8" t="s">
        <v>537</v>
      </c>
      <c r="D205" s="8" t="s">
        <v>38</v>
      </c>
      <c r="E205" s="9">
        <v>15.54</v>
      </c>
      <c r="F205" s="10">
        <v>1.65</v>
      </c>
      <c r="G205" s="18">
        <v>1.65</v>
      </c>
      <c r="H205" s="26">
        <v>1.65</v>
      </c>
      <c r="I205" s="24">
        <v>1.65</v>
      </c>
      <c r="J205" s="31">
        <v>0</v>
      </c>
    </row>
    <row r="206" spans="1:10" ht="15.75" thickBot="1">
      <c r="A206" s="2">
        <v>12230</v>
      </c>
      <c r="B206" s="8" t="s">
        <v>204</v>
      </c>
      <c r="C206" s="8" t="s">
        <v>285</v>
      </c>
      <c r="D206" s="8" t="s">
        <v>19</v>
      </c>
      <c r="E206" s="9">
        <v>17</v>
      </c>
      <c r="F206" s="11">
        <v>0.44</v>
      </c>
      <c r="G206" s="18">
        <v>0.44</v>
      </c>
      <c r="H206" s="26">
        <v>0.44</v>
      </c>
      <c r="I206" s="25">
        <v>0.44</v>
      </c>
      <c r="J206" s="31">
        <v>0.22</v>
      </c>
    </row>
    <row r="207" spans="1:10">
      <c r="A207" s="2">
        <v>12229</v>
      </c>
      <c r="B207" s="8" t="s">
        <v>399</v>
      </c>
      <c r="C207" s="8" t="s">
        <v>285</v>
      </c>
      <c r="D207" s="8" t="s">
        <v>33</v>
      </c>
      <c r="E207" s="9">
        <v>1.95</v>
      </c>
      <c r="F207" s="13">
        <f>730/10^6</f>
        <v>7.2999999999999996E-4</v>
      </c>
      <c r="G207" s="18">
        <v>0</v>
      </c>
      <c r="H207" s="26">
        <v>0</v>
      </c>
      <c r="I207" s="24">
        <v>0</v>
      </c>
      <c r="J207" s="30">
        <v>0</v>
      </c>
    </row>
    <row r="208" spans="1:10" ht="15.75" thickBot="1">
      <c r="A208" s="2">
        <v>12231</v>
      </c>
      <c r="B208" s="8" t="s">
        <v>294</v>
      </c>
      <c r="C208" s="8" t="s">
        <v>446</v>
      </c>
      <c r="D208" s="8" t="s">
        <v>11</v>
      </c>
      <c r="E208" s="9">
        <v>70.760000000000005</v>
      </c>
      <c r="F208" s="15">
        <f>12000230/10^6</f>
        <v>12.00023</v>
      </c>
      <c r="G208" s="18">
        <v>12.53</v>
      </c>
      <c r="H208" s="26">
        <v>11.74</v>
      </c>
      <c r="I208" s="25">
        <v>13.59</v>
      </c>
      <c r="J208" s="30">
        <v>14.31</v>
      </c>
    </row>
    <row r="209" spans="1:10" ht="15.75" thickBot="1">
      <c r="A209" s="2">
        <v>12232</v>
      </c>
      <c r="B209" s="8" t="s">
        <v>691</v>
      </c>
      <c r="C209" s="8" t="s">
        <v>729</v>
      </c>
      <c r="D209" s="8" t="s">
        <v>16</v>
      </c>
      <c r="E209" s="9">
        <v>43.45</v>
      </c>
      <c r="F209" s="10">
        <v>0</v>
      </c>
      <c r="G209" s="18">
        <v>0</v>
      </c>
      <c r="H209" s="26">
        <v>0</v>
      </c>
      <c r="I209" s="24">
        <v>1.89</v>
      </c>
      <c r="J209" s="30">
        <v>1.85</v>
      </c>
    </row>
    <row r="210" spans="1:10">
      <c r="A210" s="2">
        <v>12233</v>
      </c>
      <c r="B210" s="8" t="s">
        <v>567</v>
      </c>
      <c r="C210" s="8" t="s">
        <v>580</v>
      </c>
      <c r="D210" s="8" t="s">
        <v>24</v>
      </c>
      <c r="E210" s="9">
        <v>248</v>
      </c>
      <c r="F210" s="10">
        <v>110</v>
      </c>
      <c r="G210" s="18">
        <v>100</v>
      </c>
      <c r="H210" s="26">
        <v>100</v>
      </c>
      <c r="I210" s="24">
        <v>100</v>
      </c>
      <c r="J210" s="21">
        <v>247</v>
      </c>
    </row>
    <row r="211" spans="1:10" ht="15.75" thickBot="1">
      <c r="A211" s="2">
        <v>12234</v>
      </c>
      <c r="B211" s="8" t="s">
        <v>268</v>
      </c>
      <c r="C211" s="8" t="s">
        <v>447</v>
      </c>
      <c r="D211" s="8" t="s">
        <v>20</v>
      </c>
      <c r="E211" s="9">
        <v>4.66</v>
      </c>
      <c r="F211" s="15">
        <f>2536/10^6</f>
        <v>2.5360000000000001E-3</v>
      </c>
      <c r="G211" s="18">
        <v>0</v>
      </c>
      <c r="H211" s="26">
        <v>0</v>
      </c>
      <c r="I211" s="24">
        <f>3749817/10^6</f>
        <v>3.7498170000000002</v>
      </c>
      <c r="J211" s="31">
        <f>3892806/10^6</f>
        <v>3.8928060000000002</v>
      </c>
    </row>
    <row r="212" spans="1:10" ht="15.75" thickBot="1">
      <c r="A212" s="2">
        <v>12235</v>
      </c>
      <c r="B212" s="8" t="s">
        <v>205</v>
      </c>
      <c r="C212" s="8" t="s">
        <v>286</v>
      </c>
      <c r="D212" s="8" t="s">
        <v>17</v>
      </c>
      <c r="E212" s="9">
        <v>20.5</v>
      </c>
      <c r="F212" s="10">
        <v>0</v>
      </c>
      <c r="G212" s="18">
        <v>0</v>
      </c>
      <c r="H212" s="26">
        <v>0</v>
      </c>
      <c r="I212" s="25">
        <v>0</v>
      </c>
      <c r="J212" s="31">
        <v>0</v>
      </c>
    </row>
    <row r="213" spans="1:10" ht="15.75" thickBot="1">
      <c r="A213" s="2">
        <v>12236</v>
      </c>
      <c r="B213" s="8" t="s">
        <v>615</v>
      </c>
      <c r="C213" s="8" t="s">
        <v>635</v>
      </c>
      <c r="D213" s="8" t="s">
        <v>55</v>
      </c>
      <c r="E213" s="9">
        <v>9.64</v>
      </c>
      <c r="F213" s="10">
        <v>0</v>
      </c>
      <c r="G213" s="18">
        <v>0</v>
      </c>
      <c r="H213" s="26">
        <v>0</v>
      </c>
      <c r="I213" s="24">
        <v>0</v>
      </c>
      <c r="J213" s="30">
        <v>0</v>
      </c>
    </row>
    <row r="214" spans="1:10" ht="15.75" thickBot="1">
      <c r="A214" s="2">
        <v>12237</v>
      </c>
      <c r="B214" s="8" t="s">
        <v>565</v>
      </c>
      <c r="C214" s="8" t="s">
        <v>578</v>
      </c>
      <c r="D214" s="8" t="s">
        <v>49</v>
      </c>
      <c r="E214" s="9">
        <v>10.67</v>
      </c>
      <c r="F214" s="10">
        <v>2.5</v>
      </c>
      <c r="G214" s="18">
        <v>2.2999999999999998</v>
      </c>
      <c r="H214" s="26">
        <v>2.2999999999999998</v>
      </c>
      <c r="I214" s="25">
        <v>2.2999999999999998</v>
      </c>
      <c r="J214" s="21">
        <v>3</v>
      </c>
    </row>
    <row r="215" spans="1:10">
      <c r="A215" s="2">
        <v>12240</v>
      </c>
      <c r="B215" s="8" t="s">
        <v>206</v>
      </c>
      <c r="C215" s="8" t="s">
        <v>331</v>
      </c>
      <c r="D215" s="8" t="s">
        <v>19</v>
      </c>
      <c r="E215" s="9">
        <v>26.77</v>
      </c>
      <c r="F215" s="10">
        <v>6.9</v>
      </c>
      <c r="G215" s="18">
        <v>6.9</v>
      </c>
      <c r="H215" s="26">
        <v>6.37</v>
      </c>
      <c r="I215" s="24">
        <v>6.52</v>
      </c>
      <c r="J215" s="31">
        <v>6.13</v>
      </c>
    </row>
    <row r="216" spans="1:10" ht="15.75" thickBot="1">
      <c r="A216" s="2">
        <v>12241</v>
      </c>
      <c r="B216" s="8" t="s">
        <v>358</v>
      </c>
      <c r="C216" s="8" t="s">
        <v>448</v>
      </c>
      <c r="D216" s="8" t="s">
        <v>25</v>
      </c>
      <c r="E216" s="9">
        <v>22.33</v>
      </c>
      <c r="F216" s="15">
        <f>10992180/10^6</f>
        <v>10.992179999999999</v>
      </c>
      <c r="G216" s="18">
        <v>10.75</v>
      </c>
      <c r="H216" s="26">
        <v>10.25</v>
      </c>
      <c r="I216" s="25">
        <f>11230083/10^6</f>
        <v>11.230083</v>
      </c>
      <c r="J216" s="31">
        <v>11.23</v>
      </c>
    </row>
    <row r="217" spans="1:10" ht="15.75" thickBot="1">
      <c r="A217" s="2">
        <v>12242</v>
      </c>
      <c r="B217" s="8" t="s">
        <v>498</v>
      </c>
      <c r="C217" s="8" t="s">
        <v>538</v>
      </c>
      <c r="D217" s="8" t="s">
        <v>46</v>
      </c>
      <c r="E217" s="9">
        <v>3.5</v>
      </c>
      <c r="F217" s="10">
        <v>0</v>
      </c>
      <c r="G217" s="18">
        <v>0</v>
      </c>
      <c r="H217" s="26">
        <v>0</v>
      </c>
      <c r="I217" s="25">
        <v>0</v>
      </c>
      <c r="J217" s="30">
        <v>0</v>
      </c>
    </row>
    <row r="218" spans="1:10" ht="15.75" thickBot="1">
      <c r="A218" s="2">
        <v>12243</v>
      </c>
      <c r="B218" s="8" t="s">
        <v>508</v>
      </c>
      <c r="C218" s="8" t="s">
        <v>539</v>
      </c>
      <c r="D218" s="8" t="s">
        <v>39</v>
      </c>
      <c r="E218" s="9">
        <v>327</v>
      </c>
      <c r="F218" s="10">
        <v>6.09</v>
      </c>
      <c r="G218" s="18">
        <v>5.35</v>
      </c>
      <c r="H218" s="26">
        <v>4.6100000000000003</v>
      </c>
      <c r="I218" s="25">
        <v>3.72</v>
      </c>
      <c r="J218" s="31">
        <v>2.89</v>
      </c>
    </row>
    <row r="219" spans="1:10">
      <c r="A219" s="2">
        <v>12244</v>
      </c>
      <c r="B219" s="8" t="s">
        <v>207</v>
      </c>
      <c r="C219" s="8" t="s">
        <v>287</v>
      </c>
      <c r="D219" s="8" t="s">
        <v>16</v>
      </c>
      <c r="E219" s="9">
        <v>2.0299999999999998</v>
      </c>
      <c r="F219" s="10">
        <v>0.21</v>
      </c>
      <c r="G219" s="18">
        <v>0.24</v>
      </c>
      <c r="H219" s="26">
        <v>0.19</v>
      </c>
      <c r="I219" s="24">
        <v>0.5</v>
      </c>
      <c r="J219" s="30">
        <v>0.48</v>
      </c>
    </row>
    <row r="220" spans="1:10" ht="15.75" thickBot="1">
      <c r="A220" s="2">
        <v>12246</v>
      </c>
      <c r="B220" s="8" t="s">
        <v>356</v>
      </c>
      <c r="C220" s="8" t="s">
        <v>449</v>
      </c>
      <c r="D220" s="8" t="s">
        <v>36</v>
      </c>
      <c r="E220" s="9">
        <v>80.22</v>
      </c>
      <c r="F220" s="15">
        <f>4519782/10^6</f>
        <v>4.5197820000000002</v>
      </c>
      <c r="G220" s="18">
        <f>5884840/10^6</f>
        <v>5.8848399999999996</v>
      </c>
      <c r="H220" s="26">
        <v>5.88</v>
      </c>
      <c r="I220" s="24">
        <f>17067200/10^6</f>
        <v>17.0672</v>
      </c>
      <c r="J220" s="30">
        <v>17.07</v>
      </c>
    </row>
    <row r="221" spans="1:10" ht="15.75" thickBot="1">
      <c r="A221" s="2">
        <v>12247</v>
      </c>
      <c r="B221" s="8" t="s">
        <v>486</v>
      </c>
      <c r="C221" s="8" t="s">
        <v>540</v>
      </c>
      <c r="D221" s="8" t="s">
        <v>45</v>
      </c>
      <c r="E221" s="9">
        <v>22.95</v>
      </c>
      <c r="F221" s="10">
        <v>0.81</v>
      </c>
      <c r="G221" s="18">
        <v>0.81</v>
      </c>
      <c r="H221" s="26">
        <v>0.81</v>
      </c>
      <c r="I221" s="24">
        <v>0.03</v>
      </c>
      <c r="J221" s="31">
        <v>0.03</v>
      </c>
    </row>
    <row r="222" spans="1:10">
      <c r="A222" s="2">
        <v>12249</v>
      </c>
      <c r="B222" s="8" t="s">
        <v>616</v>
      </c>
      <c r="C222" s="8" t="s">
        <v>636</v>
      </c>
      <c r="D222" s="8" t="s">
        <v>32</v>
      </c>
      <c r="E222" s="9">
        <v>11.07</v>
      </c>
      <c r="F222" s="10">
        <v>9.31</v>
      </c>
      <c r="G222" s="18">
        <v>9.31</v>
      </c>
      <c r="H222" s="26">
        <v>9.31</v>
      </c>
      <c r="I222" s="25">
        <f>10028861/10^6</f>
        <v>10.028860999999999</v>
      </c>
      <c r="J222" s="30">
        <v>10.029999999999999</v>
      </c>
    </row>
    <row r="223" spans="1:10">
      <c r="A223" s="2">
        <v>12250</v>
      </c>
      <c r="B223" s="8" t="s">
        <v>701</v>
      </c>
      <c r="C223" s="8" t="s">
        <v>738</v>
      </c>
      <c r="D223" s="8" t="s">
        <v>9</v>
      </c>
      <c r="E223" s="9">
        <v>1.24</v>
      </c>
      <c r="F223" s="15">
        <f>614664/10^6</f>
        <v>0.61466399999999999</v>
      </c>
      <c r="G223" s="18">
        <v>0.66</v>
      </c>
      <c r="H223" s="26">
        <v>0.61</v>
      </c>
      <c r="I223" s="24">
        <v>0.61</v>
      </c>
      <c r="J223" s="30">
        <v>0.84</v>
      </c>
    </row>
    <row r="224" spans="1:10" ht="15.75" thickBot="1">
      <c r="A224" s="2">
        <v>12251</v>
      </c>
      <c r="B224" s="8" t="s">
        <v>407</v>
      </c>
      <c r="C224" s="8" t="s">
        <v>450</v>
      </c>
      <c r="D224" s="8" t="s">
        <v>20</v>
      </c>
      <c r="E224" s="9">
        <v>6.65</v>
      </c>
      <c r="F224" s="15">
        <f>3644/10^6</f>
        <v>3.6440000000000001E-3</v>
      </c>
      <c r="G224" s="18">
        <v>0</v>
      </c>
      <c r="H224" s="26">
        <v>0</v>
      </c>
      <c r="I224" s="25">
        <f>3644/10^6</f>
        <v>3.6440000000000001E-3</v>
      </c>
      <c r="J224" s="31">
        <f>3644/10^6</f>
        <v>3.6440000000000001E-3</v>
      </c>
    </row>
    <row r="225" spans="1:10" ht="15.75" thickBot="1">
      <c r="A225" s="2">
        <v>12252</v>
      </c>
      <c r="B225" s="8" t="s">
        <v>662</v>
      </c>
      <c r="C225" s="8" t="s">
        <v>666</v>
      </c>
      <c r="D225" s="8" t="s">
        <v>5</v>
      </c>
      <c r="E225" s="9">
        <v>1.61</v>
      </c>
      <c r="F225" s="10">
        <v>0.24</v>
      </c>
      <c r="G225" s="18">
        <v>0.24</v>
      </c>
      <c r="H225" s="26">
        <v>0.24</v>
      </c>
      <c r="I225" s="25">
        <v>0.48</v>
      </c>
      <c r="J225" s="30">
        <v>0.48</v>
      </c>
    </row>
    <row r="226" spans="1:10" ht="15.75" thickBot="1">
      <c r="A226" s="2">
        <v>12253</v>
      </c>
      <c r="B226" s="8" t="s">
        <v>487</v>
      </c>
      <c r="C226" s="8" t="s">
        <v>722</v>
      </c>
      <c r="D226" s="8" t="s">
        <v>38</v>
      </c>
      <c r="E226" s="9">
        <v>1.1000000000000001</v>
      </c>
      <c r="F226" s="10">
        <v>0</v>
      </c>
      <c r="G226" s="18">
        <v>0</v>
      </c>
      <c r="H226" s="26">
        <v>0</v>
      </c>
      <c r="I226" s="24">
        <v>0</v>
      </c>
      <c r="J226" s="31">
        <v>0</v>
      </c>
    </row>
    <row r="227" spans="1:10">
      <c r="A227" s="2">
        <v>12254</v>
      </c>
      <c r="B227" s="8" t="s">
        <v>208</v>
      </c>
      <c r="C227" s="8" t="s">
        <v>321</v>
      </c>
      <c r="D227" s="8" t="s">
        <v>16</v>
      </c>
      <c r="E227" s="9">
        <v>66.38</v>
      </c>
      <c r="F227" s="10">
        <v>18.38</v>
      </c>
      <c r="G227" s="18">
        <v>20.190000000000001</v>
      </c>
      <c r="H227" s="26">
        <v>16.760000000000002</v>
      </c>
      <c r="I227" s="24">
        <v>21.02</v>
      </c>
      <c r="J227" s="30">
        <v>19.77</v>
      </c>
    </row>
    <row r="228" spans="1:10" ht="15.75" thickBot="1">
      <c r="A228" s="2">
        <v>12255</v>
      </c>
      <c r="B228" s="8" t="s">
        <v>155</v>
      </c>
      <c r="C228" s="8" t="s">
        <v>451</v>
      </c>
      <c r="D228" s="8" t="s">
        <v>20</v>
      </c>
      <c r="E228" s="9">
        <v>2.4300000000000002</v>
      </c>
      <c r="F228" s="15">
        <f>67528/10^6</f>
        <v>6.7528000000000005E-2</v>
      </c>
      <c r="G228" s="18">
        <v>0.11</v>
      </c>
      <c r="H228" s="26">
        <v>7.0000000000000007E-2</v>
      </c>
      <c r="I228" s="25">
        <v>7.0000000000000007E-2</v>
      </c>
      <c r="J228" s="31">
        <v>7.0000000000000007E-2</v>
      </c>
    </row>
    <row r="229" spans="1:10" ht="15.75" thickBot="1">
      <c r="A229" s="2">
        <v>12256</v>
      </c>
      <c r="B229" s="8" t="s">
        <v>489</v>
      </c>
      <c r="C229" s="8" t="s">
        <v>541</v>
      </c>
      <c r="D229" s="8" t="s">
        <v>45</v>
      </c>
      <c r="E229" s="9">
        <v>23.94</v>
      </c>
      <c r="F229" s="10">
        <v>1.46</v>
      </c>
      <c r="G229" s="18">
        <v>1.46</v>
      </c>
      <c r="H229" s="26">
        <v>1.46</v>
      </c>
      <c r="I229" s="25">
        <v>1.46</v>
      </c>
      <c r="J229" s="31">
        <v>1.46</v>
      </c>
    </row>
    <row r="230" spans="1:10" ht="15.75" thickBot="1">
      <c r="A230" s="2">
        <v>12257</v>
      </c>
      <c r="B230" s="8" t="s">
        <v>598</v>
      </c>
      <c r="C230" s="8" t="s">
        <v>598</v>
      </c>
      <c r="D230" s="8" t="s">
        <v>55</v>
      </c>
      <c r="E230" s="9">
        <v>24.75</v>
      </c>
      <c r="F230" s="10">
        <v>0</v>
      </c>
      <c r="G230" s="18">
        <v>0</v>
      </c>
      <c r="H230" s="26">
        <v>0</v>
      </c>
      <c r="I230" s="25">
        <v>0</v>
      </c>
      <c r="J230" s="30">
        <v>0</v>
      </c>
    </row>
    <row r="231" spans="1:10" ht="15.75" thickBot="1">
      <c r="A231" s="2">
        <v>12258</v>
      </c>
      <c r="B231" s="8" t="s">
        <v>139</v>
      </c>
      <c r="C231" s="8" t="s">
        <v>140</v>
      </c>
      <c r="D231" s="8" t="s">
        <v>139</v>
      </c>
      <c r="E231" s="9">
        <v>105</v>
      </c>
      <c r="F231" s="10">
        <v>19.010000000000002</v>
      </c>
      <c r="G231" s="18">
        <v>36.21</v>
      </c>
      <c r="H231" s="26">
        <v>38.08</v>
      </c>
      <c r="I231" s="24">
        <v>37.15</v>
      </c>
      <c r="J231" s="31">
        <v>35.200000000000003</v>
      </c>
    </row>
    <row r="232" spans="1:10" ht="15.75" thickBot="1">
      <c r="A232" s="2">
        <v>12259</v>
      </c>
      <c r="B232" s="8" t="s">
        <v>700</v>
      </c>
      <c r="C232" s="8" t="s">
        <v>737</v>
      </c>
      <c r="D232" s="8" t="s">
        <v>13</v>
      </c>
      <c r="E232" s="9">
        <v>10.32</v>
      </c>
      <c r="F232" s="10">
        <v>1.27</v>
      </c>
      <c r="G232" s="18">
        <v>1.3</v>
      </c>
      <c r="H232" s="26">
        <v>1.21</v>
      </c>
      <c r="I232" s="25">
        <v>1.17</v>
      </c>
      <c r="J232" s="31">
        <v>1.18</v>
      </c>
    </row>
    <row r="233" spans="1:10" ht="15.75" thickBot="1">
      <c r="A233" s="6">
        <v>1066</v>
      </c>
      <c r="B233" s="8" t="s">
        <v>78</v>
      </c>
      <c r="C233" s="8" t="s">
        <v>76</v>
      </c>
      <c r="D233" s="8" t="s">
        <v>77</v>
      </c>
      <c r="E233" s="9">
        <v>1.6</v>
      </c>
      <c r="F233" s="10" t="s">
        <v>684</v>
      </c>
      <c r="G233" s="3" t="s">
        <v>684</v>
      </c>
      <c r="H233" s="3" t="s">
        <v>684</v>
      </c>
      <c r="I233" s="17">
        <v>0</v>
      </c>
      <c r="J233" s="22">
        <v>0</v>
      </c>
    </row>
    <row r="234" spans="1:10">
      <c r="A234" s="2">
        <v>12260</v>
      </c>
      <c r="B234" s="8" t="s">
        <v>167</v>
      </c>
      <c r="C234" s="8" t="s">
        <v>288</v>
      </c>
      <c r="D234" s="8" t="s">
        <v>19</v>
      </c>
      <c r="E234" s="9">
        <v>2.81</v>
      </c>
      <c r="F234" s="10">
        <v>0.01</v>
      </c>
      <c r="G234" s="18">
        <v>0.01</v>
      </c>
      <c r="H234" s="26">
        <v>0.01</v>
      </c>
      <c r="I234" s="24">
        <v>0.01</v>
      </c>
      <c r="J234" s="30">
        <v>0.01</v>
      </c>
    </row>
    <row r="235" spans="1:10" ht="15.75" thickBot="1">
      <c r="A235" s="2">
        <v>12261</v>
      </c>
      <c r="B235" s="8" t="s">
        <v>364</v>
      </c>
      <c r="C235" s="8" t="s">
        <v>452</v>
      </c>
      <c r="D235" s="8" t="s">
        <v>11</v>
      </c>
      <c r="E235" s="9">
        <v>568</v>
      </c>
      <c r="F235" s="15">
        <f>75877586/10^6</f>
        <v>75.877585999999994</v>
      </c>
      <c r="G235" s="18">
        <v>79.7</v>
      </c>
      <c r="H235" s="26">
        <v>76.28</v>
      </c>
      <c r="I235" s="25">
        <v>1.1299999999999999</v>
      </c>
      <c r="J235" s="31">
        <f>79555304/10^6</f>
        <v>79.555304000000007</v>
      </c>
    </row>
    <row r="236" spans="1:10" ht="15.75" thickBot="1">
      <c r="A236" s="2">
        <v>12262</v>
      </c>
      <c r="B236" s="8" t="s">
        <v>497</v>
      </c>
      <c r="C236" s="8" t="s">
        <v>452</v>
      </c>
      <c r="D236" s="8" t="s">
        <v>38</v>
      </c>
      <c r="E236" s="9">
        <v>1.5</v>
      </c>
      <c r="F236" s="10">
        <v>0</v>
      </c>
      <c r="G236" s="18">
        <v>0</v>
      </c>
      <c r="H236" s="26">
        <v>0</v>
      </c>
      <c r="I236" s="24">
        <f>78577450/10^6</f>
        <v>78.577449999999999</v>
      </c>
      <c r="J236" s="31">
        <v>1.1299999999999999</v>
      </c>
    </row>
    <row r="237" spans="1:10" ht="15.75" thickBot="1">
      <c r="A237" s="2">
        <v>12263</v>
      </c>
      <c r="B237" s="8" t="s">
        <v>108</v>
      </c>
      <c r="C237" s="8" t="s">
        <v>108</v>
      </c>
      <c r="D237" s="8" t="s">
        <v>5</v>
      </c>
      <c r="E237" s="9">
        <v>0.3</v>
      </c>
      <c r="F237" s="10">
        <v>0.1</v>
      </c>
      <c r="G237" s="18">
        <v>0.1</v>
      </c>
      <c r="H237" s="26">
        <v>0.1</v>
      </c>
      <c r="I237" s="25">
        <v>0.1</v>
      </c>
      <c r="J237" s="30">
        <v>0.1</v>
      </c>
    </row>
    <row r="238" spans="1:10" ht="15.75" thickBot="1">
      <c r="A238" s="2">
        <v>12264</v>
      </c>
      <c r="B238" s="8" t="s">
        <v>209</v>
      </c>
      <c r="C238" s="8" t="s">
        <v>289</v>
      </c>
      <c r="D238" s="8" t="s">
        <v>13</v>
      </c>
      <c r="E238" s="9">
        <v>37.840000000000003</v>
      </c>
      <c r="F238" s="10">
        <v>7.39</v>
      </c>
      <c r="G238" s="18">
        <v>8</v>
      </c>
      <c r="H238" s="26">
        <v>7.48</v>
      </c>
      <c r="I238" s="24">
        <v>8.25</v>
      </c>
      <c r="J238" s="30">
        <v>8.09</v>
      </c>
    </row>
    <row r="239" spans="1:10" ht="15.75" thickBot="1">
      <c r="A239" s="2">
        <v>12265</v>
      </c>
      <c r="B239" s="8" t="s">
        <v>613</v>
      </c>
      <c r="C239" s="8" t="s">
        <v>637</v>
      </c>
      <c r="D239" s="8" t="s">
        <v>55</v>
      </c>
      <c r="E239" s="9">
        <v>7.54</v>
      </c>
      <c r="F239" s="10">
        <v>0</v>
      </c>
      <c r="G239" s="18">
        <v>0.18</v>
      </c>
      <c r="H239" s="26">
        <v>0.18</v>
      </c>
      <c r="I239" s="24">
        <v>0.19</v>
      </c>
      <c r="J239" s="30">
        <v>0.11</v>
      </c>
    </row>
    <row r="240" spans="1:10" ht="15.75" thickBot="1">
      <c r="A240" s="2">
        <v>12266</v>
      </c>
      <c r="B240" s="8" t="s">
        <v>560</v>
      </c>
      <c r="C240" s="8" t="s">
        <v>574</v>
      </c>
      <c r="D240" s="8" t="s">
        <v>24</v>
      </c>
      <c r="E240" s="9">
        <v>2.08</v>
      </c>
      <c r="F240" s="10">
        <v>0.3</v>
      </c>
      <c r="G240" s="18">
        <v>0.2</v>
      </c>
      <c r="H240" s="26">
        <v>0.2</v>
      </c>
      <c r="I240" s="24">
        <v>0.2</v>
      </c>
      <c r="J240" s="21">
        <v>1.7</v>
      </c>
    </row>
    <row r="241" spans="1:10" ht="15.75" thickBot="1">
      <c r="A241" s="4">
        <v>12267</v>
      </c>
      <c r="B241" s="8" t="s">
        <v>195</v>
      </c>
      <c r="C241" s="8" t="s">
        <v>772</v>
      </c>
      <c r="D241" s="8" t="s">
        <v>15</v>
      </c>
      <c r="E241" s="9">
        <v>20.68</v>
      </c>
      <c r="F241" s="10">
        <v>2.4</v>
      </c>
      <c r="G241" s="18">
        <v>3.4</v>
      </c>
      <c r="H241" s="26">
        <v>3.14</v>
      </c>
      <c r="I241" s="25">
        <v>3.01</v>
      </c>
      <c r="J241" s="31">
        <v>2.8</v>
      </c>
    </row>
    <row r="242" spans="1:10" ht="15.75" thickBot="1">
      <c r="A242" s="2">
        <v>12268</v>
      </c>
      <c r="B242" s="8" t="s">
        <v>210</v>
      </c>
      <c r="C242" s="8" t="s">
        <v>290</v>
      </c>
      <c r="D242" s="8" t="s">
        <v>16</v>
      </c>
      <c r="E242" s="9">
        <v>37.18</v>
      </c>
      <c r="F242" s="10">
        <v>2.71</v>
      </c>
      <c r="G242" s="18">
        <v>2.77</v>
      </c>
      <c r="H242" s="26">
        <v>2.6</v>
      </c>
      <c r="I242" s="25">
        <v>2.9</v>
      </c>
      <c r="J242" s="31">
        <v>2.84</v>
      </c>
    </row>
    <row r="243" spans="1:10" ht="15.75" thickBot="1">
      <c r="A243" s="2">
        <v>12269</v>
      </c>
      <c r="B243" s="8" t="s">
        <v>109</v>
      </c>
      <c r="C243" s="8" t="s">
        <v>109</v>
      </c>
      <c r="D243" s="8" t="s">
        <v>5</v>
      </c>
      <c r="E243" s="9">
        <v>1.61</v>
      </c>
      <c r="F243" s="10">
        <v>1.05</v>
      </c>
      <c r="G243" s="18">
        <v>1.05</v>
      </c>
      <c r="H243" s="26">
        <v>1.05</v>
      </c>
      <c r="I243" s="24">
        <v>1.05</v>
      </c>
      <c r="J243" s="31">
        <v>1.05</v>
      </c>
    </row>
    <row r="244" spans="1:10" ht="15.75" thickBot="1">
      <c r="A244" s="2">
        <v>12270</v>
      </c>
      <c r="B244" s="8" t="s">
        <v>599</v>
      </c>
      <c r="C244" s="8" t="s">
        <v>599</v>
      </c>
      <c r="D244" s="8" t="s">
        <v>55</v>
      </c>
      <c r="E244" s="9">
        <v>11.2</v>
      </c>
      <c r="F244" s="10">
        <v>0.3</v>
      </c>
      <c r="G244" s="18">
        <v>0.2</v>
      </c>
      <c r="H244" s="26">
        <v>0.2</v>
      </c>
      <c r="I244" s="24">
        <v>0.12</v>
      </c>
      <c r="J244" s="30">
        <v>7.0000000000000007E-2</v>
      </c>
    </row>
    <row r="245" spans="1:10" ht="15.75" thickBot="1">
      <c r="A245" s="2">
        <v>12271</v>
      </c>
      <c r="B245" s="8" t="s">
        <v>584</v>
      </c>
      <c r="C245" s="8" t="s">
        <v>638</v>
      </c>
      <c r="D245" s="8" t="s">
        <v>54</v>
      </c>
      <c r="E245" s="9">
        <v>44.42</v>
      </c>
      <c r="F245" s="10">
        <v>0.01</v>
      </c>
      <c r="G245" s="18">
        <v>0.01</v>
      </c>
      <c r="H245" s="26">
        <v>0.01</v>
      </c>
      <c r="I245" s="25">
        <v>0.01</v>
      </c>
      <c r="J245" s="31">
        <v>1.3</v>
      </c>
    </row>
    <row r="246" spans="1:10">
      <c r="A246" s="2">
        <v>12273</v>
      </c>
      <c r="B246" s="8" t="s">
        <v>494</v>
      </c>
      <c r="C246" s="8" t="s">
        <v>542</v>
      </c>
      <c r="D246" s="8" t="s">
        <v>43</v>
      </c>
      <c r="E246" s="9">
        <v>21.62</v>
      </c>
      <c r="F246" s="10">
        <v>0</v>
      </c>
      <c r="G246" s="18">
        <v>0</v>
      </c>
      <c r="H246" s="26">
        <v>0</v>
      </c>
      <c r="I246" s="25">
        <v>0</v>
      </c>
      <c r="J246" s="31">
        <v>0</v>
      </c>
    </row>
    <row r="247" spans="1:10" ht="15.75" thickBot="1">
      <c r="A247" s="2">
        <v>12275</v>
      </c>
      <c r="B247" s="8" t="s">
        <v>378</v>
      </c>
      <c r="C247" s="8" t="s">
        <v>378</v>
      </c>
      <c r="D247" s="8" t="s">
        <v>9</v>
      </c>
      <c r="E247" s="9">
        <v>0.6</v>
      </c>
      <c r="F247" s="15">
        <f>304470/10^6</f>
        <v>0.30447000000000002</v>
      </c>
      <c r="G247" s="18">
        <v>0.3</v>
      </c>
      <c r="H247" s="26">
        <v>0.28999999999999998</v>
      </c>
      <c r="I247" s="24">
        <v>0.28000000000000003</v>
      </c>
      <c r="J247" s="30">
        <v>0.27</v>
      </c>
    </row>
    <row r="248" spans="1:10" ht="15.75" thickBot="1">
      <c r="A248" s="2">
        <v>12494</v>
      </c>
      <c r="B248" s="8" t="s">
        <v>509</v>
      </c>
      <c r="C248" s="8" t="s">
        <v>40</v>
      </c>
      <c r="D248" s="8" t="s">
        <v>39</v>
      </c>
      <c r="E248" s="9">
        <v>2.75</v>
      </c>
      <c r="F248" s="10">
        <v>0</v>
      </c>
      <c r="G248" s="18">
        <v>0</v>
      </c>
      <c r="H248" s="26">
        <v>0</v>
      </c>
      <c r="I248" s="24">
        <v>0</v>
      </c>
      <c r="J248" s="30">
        <v>0</v>
      </c>
    </row>
    <row r="249" spans="1:10" ht="15.75" thickBot="1">
      <c r="A249" s="2">
        <v>12277</v>
      </c>
      <c r="B249" s="8" t="s">
        <v>585</v>
      </c>
      <c r="C249" s="8" t="s">
        <v>639</v>
      </c>
      <c r="D249" s="8" t="s">
        <v>54</v>
      </c>
      <c r="E249" s="9">
        <v>76.349999999999994</v>
      </c>
      <c r="F249" s="10">
        <v>15.06</v>
      </c>
      <c r="G249" s="18">
        <v>10.88</v>
      </c>
      <c r="H249" s="26">
        <v>13.05</v>
      </c>
      <c r="I249" s="24">
        <f>12028429/10^6</f>
        <v>12.028428999999999</v>
      </c>
      <c r="J249" s="31">
        <v>11.8</v>
      </c>
    </row>
    <row r="250" spans="1:10">
      <c r="A250" s="6">
        <v>1055</v>
      </c>
      <c r="B250" s="8" t="s">
        <v>62</v>
      </c>
      <c r="C250" s="8" t="s">
        <v>63</v>
      </c>
      <c r="D250" s="8" t="s">
        <v>64</v>
      </c>
      <c r="E250" s="9">
        <v>55</v>
      </c>
      <c r="F250" s="10" t="s">
        <v>684</v>
      </c>
      <c r="G250" s="3" t="s">
        <v>684</v>
      </c>
      <c r="H250" s="3" t="s">
        <v>684</v>
      </c>
      <c r="I250" s="17" t="s">
        <v>684</v>
      </c>
      <c r="J250" s="22" t="s">
        <v>684</v>
      </c>
    </row>
    <row r="251" spans="1:10" ht="15.75" thickBot="1">
      <c r="A251" s="2">
        <v>12278</v>
      </c>
      <c r="B251" s="8" t="s">
        <v>386</v>
      </c>
      <c r="C251" s="8" t="s">
        <v>456</v>
      </c>
      <c r="D251" s="8" t="s">
        <v>25</v>
      </c>
      <c r="E251" s="9">
        <v>0.8</v>
      </c>
      <c r="F251" s="15">
        <f>277/10^6</f>
        <v>2.7700000000000001E-4</v>
      </c>
      <c r="G251" s="18">
        <v>0</v>
      </c>
      <c r="H251" s="26">
        <v>0</v>
      </c>
      <c r="I251" s="25">
        <f>277/10^6</f>
        <v>2.7700000000000001E-4</v>
      </c>
      <c r="J251" s="30">
        <v>0</v>
      </c>
    </row>
    <row r="252" spans="1:10" ht="15.75" thickBot="1">
      <c r="A252" s="2">
        <v>12279</v>
      </c>
      <c r="B252" s="8" t="s">
        <v>141</v>
      </c>
      <c r="C252" s="8" t="s">
        <v>142</v>
      </c>
      <c r="D252" s="8" t="s">
        <v>393</v>
      </c>
      <c r="E252" s="9">
        <v>158</v>
      </c>
      <c r="F252" s="10">
        <v>13.05</v>
      </c>
      <c r="G252" s="18">
        <v>13.03</v>
      </c>
      <c r="H252" s="26">
        <v>44.17</v>
      </c>
      <c r="I252" s="24">
        <v>44.17</v>
      </c>
      <c r="J252" s="31">
        <v>44.17</v>
      </c>
    </row>
    <row r="253" spans="1:10" ht="15.75" thickBot="1">
      <c r="A253" s="4">
        <v>12280</v>
      </c>
      <c r="B253" s="8" t="s">
        <v>233</v>
      </c>
      <c r="C253" s="8" t="s">
        <v>773</v>
      </c>
      <c r="D253" s="8" t="s">
        <v>22</v>
      </c>
      <c r="E253" s="9">
        <v>65.3</v>
      </c>
      <c r="F253" s="10">
        <v>7.5</v>
      </c>
      <c r="G253" s="18">
        <v>12.52</v>
      </c>
      <c r="H253" s="26">
        <v>11.94</v>
      </c>
      <c r="I253" s="25">
        <v>11.79</v>
      </c>
      <c r="J253" s="30">
        <v>13.04</v>
      </c>
    </row>
    <row r="254" spans="1:10" ht="15.75" thickBot="1">
      <c r="A254" s="2">
        <v>12281</v>
      </c>
      <c r="B254" s="8" t="s">
        <v>211</v>
      </c>
      <c r="C254" s="8" t="s">
        <v>211</v>
      </c>
      <c r="D254" s="8" t="s">
        <v>18</v>
      </c>
      <c r="E254" s="9">
        <v>12.1</v>
      </c>
      <c r="F254" s="10">
        <v>0.64</v>
      </c>
      <c r="G254" s="18">
        <v>0.79</v>
      </c>
      <c r="H254" s="26">
        <v>0.68</v>
      </c>
      <c r="I254" s="24">
        <v>0.92</v>
      </c>
      <c r="J254" s="30">
        <v>0.89</v>
      </c>
    </row>
    <row r="255" spans="1:10" ht="15.75" thickBot="1">
      <c r="A255" s="2">
        <v>12282</v>
      </c>
      <c r="B255" s="8" t="s">
        <v>101</v>
      </c>
      <c r="C255" s="8" t="s">
        <v>640</v>
      </c>
      <c r="D255" s="8" t="s">
        <v>55</v>
      </c>
      <c r="E255" s="9">
        <v>6.71</v>
      </c>
      <c r="F255" s="10">
        <v>0.55000000000000004</v>
      </c>
      <c r="G255" s="18">
        <v>0.49</v>
      </c>
      <c r="H255" s="26">
        <v>0.49</v>
      </c>
      <c r="I255" s="24">
        <v>0.66</v>
      </c>
      <c r="J255" s="30">
        <v>0.53</v>
      </c>
    </row>
    <row r="256" spans="1:10" ht="15.75" thickBot="1">
      <c r="A256" s="2">
        <v>12283</v>
      </c>
      <c r="B256" s="8" t="s">
        <v>146</v>
      </c>
      <c r="C256" s="8" t="s">
        <v>543</v>
      </c>
      <c r="D256" s="8" t="s">
        <v>42</v>
      </c>
      <c r="E256" s="9">
        <v>2.93</v>
      </c>
      <c r="F256" s="10">
        <v>0</v>
      </c>
      <c r="G256" s="18">
        <v>0</v>
      </c>
      <c r="H256" s="26">
        <v>0.06</v>
      </c>
      <c r="I256" s="24">
        <v>0.06</v>
      </c>
      <c r="J256" s="31">
        <v>0.06</v>
      </c>
    </row>
    <row r="257" spans="1:10">
      <c r="A257" s="2">
        <v>12284</v>
      </c>
      <c r="B257" s="8" t="s">
        <v>143</v>
      </c>
      <c r="C257" s="8" t="s">
        <v>144</v>
      </c>
      <c r="D257" s="8" t="s">
        <v>139</v>
      </c>
      <c r="E257" s="9">
        <v>3.11</v>
      </c>
      <c r="F257" s="10">
        <v>2.23</v>
      </c>
      <c r="G257" s="18">
        <v>2.4</v>
      </c>
      <c r="H257" s="26">
        <v>2.25</v>
      </c>
      <c r="I257" s="25">
        <v>2.08</v>
      </c>
      <c r="J257" s="30">
        <v>1.72</v>
      </c>
    </row>
    <row r="258" spans="1:10" ht="15.75" thickBot="1">
      <c r="A258" s="2">
        <v>12285</v>
      </c>
      <c r="B258" s="8" t="s">
        <v>375</v>
      </c>
      <c r="C258" s="8" t="s">
        <v>453</v>
      </c>
      <c r="D258" s="8" t="s">
        <v>20</v>
      </c>
      <c r="E258" s="9">
        <v>25.37</v>
      </c>
      <c r="F258" s="15">
        <f>1000156/10^6</f>
        <v>1.000156</v>
      </c>
      <c r="G258" s="18">
        <v>0.92</v>
      </c>
      <c r="H258" s="26">
        <v>0.92</v>
      </c>
      <c r="I258" s="25">
        <v>0.79</v>
      </c>
      <c r="J258" s="31">
        <v>1</v>
      </c>
    </row>
    <row r="259" spans="1:10" ht="15.75" thickBot="1">
      <c r="A259" s="2">
        <v>12286</v>
      </c>
      <c r="B259" s="8" t="s">
        <v>723</v>
      </c>
      <c r="C259" s="8" t="s">
        <v>724</v>
      </c>
      <c r="D259" s="8" t="s">
        <v>42</v>
      </c>
      <c r="E259" s="9">
        <v>1.28</v>
      </c>
      <c r="F259" s="10">
        <v>0.16</v>
      </c>
      <c r="G259" s="18">
        <v>0.16</v>
      </c>
      <c r="H259" s="26">
        <v>7.0000000000000007E-2</v>
      </c>
      <c r="I259" s="24">
        <v>7.0000000000000007E-2</v>
      </c>
      <c r="J259" s="30">
        <v>7.0000000000000007E-2</v>
      </c>
    </row>
    <row r="260" spans="1:10" ht="15.75" thickBot="1">
      <c r="A260" s="2">
        <v>12287</v>
      </c>
      <c r="B260" s="8" t="s">
        <v>212</v>
      </c>
      <c r="C260" s="8" t="s">
        <v>291</v>
      </c>
      <c r="D260" s="8" t="s">
        <v>22</v>
      </c>
      <c r="E260" s="9">
        <v>21.3</v>
      </c>
      <c r="F260" s="10">
        <v>4.7699999999999996</v>
      </c>
      <c r="G260" s="18">
        <v>6.19</v>
      </c>
      <c r="H260" s="26">
        <v>6.69</v>
      </c>
      <c r="I260" s="24">
        <v>7.85</v>
      </c>
      <c r="J260" s="31">
        <v>9.84</v>
      </c>
    </row>
    <row r="261" spans="1:10" ht="15.75" thickBot="1">
      <c r="A261" s="2">
        <v>12288</v>
      </c>
      <c r="B261" s="8" t="s">
        <v>589</v>
      </c>
      <c r="C261" s="8" t="s">
        <v>641</v>
      </c>
      <c r="D261" s="8" t="s">
        <v>54</v>
      </c>
      <c r="E261" s="9">
        <v>3.6</v>
      </c>
      <c r="F261" s="10">
        <v>0</v>
      </c>
      <c r="G261" s="18">
        <v>0.01</v>
      </c>
      <c r="H261" s="26">
        <v>0.01</v>
      </c>
      <c r="I261" s="24">
        <v>0.01</v>
      </c>
      <c r="J261" s="30">
        <v>0.2</v>
      </c>
    </row>
    <row r="262" spans="1:10">
      <c r="A262" s="2">
        <v>12289</v>
      </c>
      <c r="B262" s="8" t="s">
        <v>213</v>
      </c>
      <c r="C262" s="8" t="s">
        <v>292</v>
      </c>
      <c r="D262" s="8" t="s">
        <v>15</v>
      </c>
      <c r="E262" s="9">
        <v>47.64</v>
      </c>
      <c r="F262" s="10">
        <v>13.57</v>
      </c>
      <c r="G262" s="18">
        <v>13.17</v>
      </c>
      <c r="H262" s="26">
        <v>12.27</v>
      </c>
      <c r="I262" s="24">
        <v>15.61</v>
      </c>
      <c r="J262" s="31">
        <v>15.06</v>
      </c>
    </row>
    <row r="263" spans="1:10" ht="15.75" thickBot="1">
      <c r="A263" s="2">
        <v>12290</v>
      </c>
      <c r="B263" s="8" t="s">
        <v>395</v>
      </c>
      <c r="C263" s="8" t="s">
        <v>454</v>
      </c>
      <c r="D263" s="8" t="s">
        <v>20</v>
      </c>
      <c r="E263" s="9">
        <v>2.12</v>
      </c>
      <c r="F263" s="15">
        <f>69406/10^6</f>
        <v>6.9405999999999995E-2</v>
      </c>
      <c r="G263" s="18">
        <v>0.09</v>
      </c>
      <c r="H263" s="26">
        <v>0.08</v>
      </c>
      <c r="I263" s="25">
        <v>0.08</v>
      </c>
      <c r="J263" s="30">
        <v>0.08</v>
      </c>
    </row>
    <row r="264" spans="1:10" ht="15.75" thickBot="1">
      <c r="A264" s="2">
        <v>12291</v>
      </c>
      <c r="B264" s="8" t="s">
        <v>510</v>
      </c>
      <c r="C264" s="8" t="s">
        <v>544</v>
      </c>
      <c r="D264" s="8" t="s">
        <v>46</v>
      </c>
      <c r="E264" s="9">
        <v>22.71</v>
      </c>
      <c r="F264" s="10">
        <v>0</v>
      </c>
      <c r="G264" s="18">
        <v>1.46</v>
      </c>
      <c r="H264" s="26">
        <v>1.46</v>
      </c>
      <c r="I264" s="24">
        <v>0.53</v>
      </c>
      <c r="J264" s="30">
        <v>0.28000000000000003</v>
      </c>
    </row>
    <row r="265" spans="1:10" ht="15.75" thickBot="1">
      <c r="A265" s="2">
        <v>12292</v>
      </c>
      <c r="B265" s="8" t="s">
        <v>561</v>
      </c>
      <c r="C265" s="8" t="s">
        <v>575</v>
      </c>
      <c r="D265" s="8" t="s">
        <v>24</v>
      </c>
      <c r="E265" s="9">
        <v>9.02</v>
      </c>
      <c r="F265" s="10">
        <v>0.5</v>
      </c>
      <c r="G265" s="18">
        <v>0.4</v>
      </c>
      <c r="H265" s="26">
        <v>0.4</v>
      </c>
      <c r="I265" s="24">
        <v>0.4</v>
      </c>
      <c r="J265" s="21">
        <v>9</v>
      </c>
    </row>
    <row r="266" spans="1:10">
      <c r="A266" s="2">
        <v>12293</v>
      </c>
      <c r="B266" s="8" t="s">
        <v>206</v>
      </c>
      <c r="C266" s="8" t="s">
        <v>293</v>
      </c>
      <c r="D266" s="8" t="s">
        <v>19</v>
      </c>
      <c r="E266" s="9">
        <v>5.19</v>
      </c>
      <c r="F266" s="10">
        <v>0.02</v>
      </c>
      <c r="G266" s="18">
        <v>0.02</v>
      </c>
      <c r="H266" s="26">
        <v>0.02</v>
      </c>
      <c r="I266" s="25">
        <v>0.02</v>
      </c>
      <c r="J266" s="31">
        <v>0.02</v>
      </c>
    </row>
    <row r="267" spans="1:10" ht="15.75" thickBot="1">
      <c r="A267" s="2">
        <v>12294</v>
      </c>
      <c r="B267" s="8" t="s">
        <v>408</v>
      </c>
      <c r="C267" s="8" t="s">
        <v>455</v>
      </c>
      <c r="D267" s="8" t="s">
        <v>11</v>
      </c>
      <c r="E267" s="9">
        <v>0.71</v>
      </c>
      <c r="F267" s="15">
        <f>373/10^6</f>
        <v>3.7300000000000001E-4</v>
      </c>
      <c r="G267" s="18">
        <v>0</v>
      </c>
      <c r="H267" s="26">
        <v>0</v>
      </c>
      <c r="I267" s="25">
        <v>0</v>
      </c>
      <c r="J267" s="31">
        <v>0</v>
      </c>
    </row>
    <row r="268" spans="1:10" ht="15.75" thickBot="1">
      <c r="A268" s="2">
        <v>12295</v>
      </c>
      <c r="B268" s="8" t="s">
        <v>78</v>
      </c>
      <c r="C268" s="8" t="s">
        <v>545</v>
      </c>
      <c r="D268" s="8" t="s">
        <v>39</v>
      </c>
      <c r="E268" s="9">
        <v>3.02</v>
      </c>
      <c r="F268" s="10">
        <v>0.09</v>
      </c>
      <c r="G268" s="18">
        <v>0.2</v>
      </c>
      <c r="H268" s="26">
        <v>0.2</v>
      </c>
      <c r="I268" s="25">
        <v>0.2</v>
      </c>
      <c r="J268" s="30">
        <v>0.2</v>
      </c>
    </row>
    <row r="269" spans="1:10">
      <c r="A269" s="2">
        <v>12297</v>
      </c>
      <c r="B269" s="8" t="s">
        <v>214</v>
      </c>
      <c r="C269" s="8" t="s">
        <v>294</v>
      </c>
      <c r="D269" s="8" t="s">
        <v>16</v>
      </c>
      <c r="E269" s="9">
        <v>21</v>
      </c>
      <c r="F269" s="10">
        <v>6.53</v>
      </c>
      <c r="G269" s="18">
        <v>6.65</v>
      </c>
      <c r="H269" s="26">
        <v>6.31</v>
      </c>
      <c r="I269" s="25">
        <v>8.24</v>
      </c>
      <c r="J269" s="31">
        <v>8.27</v>
      </c>
    </row>
    <row r="270" spans="1:10" ht="15.75" thickBot="1">
      <c r="A270" s="2">
        <v>12298</v>
      </c>
      <c r="B270" s="8" t="s">
        <v>381</v>
      </c>
      <c r="C270" s="8" t="s">
        <v>381</v>
      </c>
      <c r="D270" s="8" t="s">
        <v>20</v>
      </c>
      <c r="E270" s="9">
        <v>5.88</v>
      </c>
      <c r="F270" s="15">
        <f>3126/10^6</f>
        <v>3.1259999999999999E-3</v>
      </c>
      <c r="G270" s="18">
        <v>0.05</v>
      </c>
      <c r="H270" s="26">
        <v>0.05</v>
      </c>
      <c r="I270" s="25">
        <f>16452/10^6</f>
        <v>1.6452000000000001E-2</v>
      </c>
      <c r="J270" s="31">
        <f>16452/10^6</f>
        <v>1.6452000000000001E-2</v>
      </c>
    </row>
    <row r="271" spans="1:10">
      <c r="A271" s="2">
        <v>12299</v>
      </c>
      <c r="B271" s="8" t="s">
        <v>215</v>
      </c>
      <c r="C271" s="8" t="s">
        <v>215</v>
      </c>
      <c r="D271" s="8" t="s">
        <v>15</v>
      </c>
      <c r="E271" s="9">
        <v>1940</v>
      </c>
      <c r="F271" s="10">
        <v>645.04999999999995</v>
      </c>
      <c r="G271" s="18">
        <v>674.53</v>
      </c>
      <c r="H271" s="26">
        <v>653.39</v>
      </c>
      <c r="I271" s="24">
        <v>687.17</v>
      </c>
      <c r="J271" s="30">
        <v>683.8</v>
      </c>
    </row>
    <row r="272" spans="1:10" ht="15.75" thickBot="1">
      <c r="A272" s="2">
        <v>12300</v>
      </c>
      <c r="B272" s="8" t="s">
        <v>688</v>
      </c>
      <c r="C272" s="8" t="s">
        <v>688</v>
      </c>
      <c r="D272" s="8" t="s">
        <v>14</v>
      </c>
      <c r="E272" s="9">
        <v>1.68</v>
      </c>
      <c r="F272" s="15">
        <f>0/10^6</f>
        <v>0</v>
      </c>
      <c r="G272" s="18">
        <v>0</v>
      </c>
      <c r="H272" s="26">
        <v>0</v>
      </c>
      <c r="I272" s="24">
        <v>0</v>
      </c>
      <c r="J272" s="30">
        <v>0</v>
      </c>
    </row>
    <row r="273" spans="1:10" ht="15.75" thickBot="1">
      <c r="A273" s="2">
        <v>12301</v>
      </c>
      <c r="B273" s="8" t="s">
        <v>216</v>
      </c>
      <c r="C273" s="8" t="s">
        <v>216</v>
      </c>
      <c r="D273" s="8" t="s">
        <v>13</v>
      </c>
      <c r="E273" s="9">
        <v>240</v>
      </c>
      <c r="F273" s="10">
        <v>35.4</v>
      </c>
      <c r="G273" s="18">
        <v>38.92</v>
      </c>
      <c r="H273" s="26">
        <v>37.630000000000003</v>
      </c>
      <c r="I273" s="25">
        <v>37.28</v>
      </c>
      <c r="J273" s="31">
        <v>40.1</v>
      </c>
    </row>
    <row r="274" spans="1:10" ht="15.75" thickBot="1">
      <c r="A274" s="2">
        <v>12302</v>
      </c>
      <c r="B274" s="8" t="s">
        <v>217</v>
      </c>
      <c r="C274" s="8" t="s">
        <v>295</v>
      </c>
      <c r="D274" s="8" t="s">
        <v>13</v>
      </c>
      <c r="E274" s="9">
        <v>380</v>
      </c>
      <c r="F274" s="10">
        <v>126.2</v>
      </c>
      <c r="G274" s="18">
        <v>123.68</v>
      </c>
      <c r="H274" s="26">
        <v>115.9</v>
      </c>
      <c r="I274" s="25">
        <v>116.36</v>
      </c>
      <c r="J274" s="31">
        <v>117.5</v>
      </c>
    </row>
    <row r="275" spans="1:10" ht="15.75" thickBot="1">
      <c r="A275" s="2">
        <v>12303</v>
      </c>
      <c r="B275" s="8" t="s">
        <v>110</v>
      </c>
      <c r="C275" s="8" t="s">
        <v>111</v>
      </c>
      <c r="D275" s="8" t="s">
        <v>5</v>
      </c>
      <c r="E275" s="9">
        <v>2.12</v>
      </c>
      <c r="F275" s="10">
        <v>1.06</v>
      </c>
      <c r="G275" s="18">
        <v>1.06</v>
      </c>
      <c r="H275" s="26">
        <v>1.06</v>
      </c>
      <c r="I275" s="25">
        <v>1.06</v>
      </c>
      <c r="J275" s="31">
        <v>1.06</v>
      </c>
    </row>
    <row r="276" spans="1:10" ht="15.75" thickBot="1">
      <c r="A276" s="2">
        <v>12304</v>
      </c>
      <c r="B276" s="8" t="s">
        <v>112</v>
      </c>
      <c r="C276" s="8" t="s">
        <v>113</v>
      </c>
      <c r="D276" s="8" t="s">
        <v>8</v>
      </c>
      <c r="E276" s="9">
        <v>3.74</v>
      </c>
      <c r="F276" s="10">
        <v>3.36</v>
      </c>
      <c r="G276" s="18">
        <v>3.36</v>
      </c>
      <c r="H276" s="26">
        <v>3.36</v>
      </c>
      <c r="I276" s="25">
        <v>3.36</v>
      </c>
      <c r="J276" s="31">
        <v>3.36</v>
      </c>
    </row>
    <row r="277" spans="1:10" ht="15.75" thickBot="1">
      <c r="A277" s="4">
        <v>12305</v>
      </c>
      <c r="B277" s="8" t="s">
        <v>767</v>
      </c>
      <c r="C277" s="8" t="s">
        <v>762</v>
      </c>
      <c r="D277" s="8" t="s">
        <v>758</v>
      </c>
      <c r="E277" s="9">
        <v>6.5</v>
      </c>
      <c r="F277" s="10">
        <v>1.67</v>
      </c>
      <c r="G277" s="18">
        <v>1.67</v>
      </c>
      <c r="H277" s="26">
        <v>2.17</v>
      </c>
      <c r="I277" s="24">
        <v>2.17</v>
      </c>
      <c r="J277" s="30">
        <v>2.17</v>
      </c>
    </row>
    <row r="278" spans="1:10">
      <c r="A278" s="2">
        <v>12306</v>
      </c>
      <c r="B278" s="8" t="s">
        <v>500</v>
      </c>
      <c r="C278" s="8" t="s">
        <v>546</v>
      </c>
      <c r="D278" s="8" t="s">
        <v>41</v>
      </c>
      <c r="E278" s="9">
        <v>34.229999999999997</v>
      </c>
      <c r="F278" s="10">
        <v>1.18</v>
      </c>
      <c r="G278" s="18">
        <v>1.18</v>
      </c>
      <c r="H278" s="26">
        <v>1.18</v>
      </c>
      <c r="I278" s="25">
        <v>1.18</v>
      </c>
      <c r="J278" s="31">
        <v>1.18</v>
      </c>
    </row>
    <row r="279" spans="1:10" ht="15.75" thickBot="1">
      <c r="A279" s="2">
        <v>12307</v>
      </c>
      <c r="B279" s="8" t="s">
        <v>393</v>
      </c>
      <c r="C279" s="8" t="s">
        <v>457</v>
      </c>
      <c r="D279" s="8" t="s">
        <v>36</v>
      </c>
      <c r="E279" s="9">
        <v>5.34</v>
      </c>
      <c r="F279" s="15">
        <f>312260/10^6</f>
        <v>0.31225999999999998</v>
      </c>
      <c r="G279" s="18">
        <v>0.41</v>
      </c>
      <c r="H279" s="26">
        <v>0.37</v>
      </c>
      <c r="I279" s="25">
        <v>0.32</v>
      </c>
      <c r="J279" s="31">
        <v>0.32</v>
      </c>
    </row>
    <row r="280" spans="1:10" ht="15.75" thickBot="1">
      <c r="A280" s="2">
        <v>12308</v>
      </c>
      <c r="B280" s="8" t="s">
        <v>296</v>
      </c>
      <c r="C280" s="8" t="s">
        <v>296</v>
      </c>
      <c r="D280" s="8" t="s">
        <v>15</v>
      </c>
      <c r="E280" s="9">
        <v>8.5299999999999994</v>
      </c>
      <c r="F280" s="10">
        <v>0</v>
      </c>
      <c r="G280" s="18">
        <v>0.79</v>
      </c>
      <c r="H280" s="26">
        <v>0.69</v>
      </c>
      <c r="I280" s="24">
        <v>0.73</v>
      </c>
      <c r="J280" s="30">
        <v>0.72</v>
      </c>
    </row>
    <row r="281" spans="1:10" ht="15.75" thickBot="1">
      <c r="A281" s="2">
        <v>12309</v>
      </c>
      <c r="B281" s="8" t="s">
        <v>681</v>
      </c>
      <c r="C281" s="8" t="s">
        <v>681</v>
      </c>
      <c r="D281" s="8" t="s">
        <v>678</v>
      </c>
      <c r="E281" s="9">
        <v>1.27</v>
      </c>
      <c r="F281" s="10">
        <v>0.56999999999999995</v>
      </c>
      <c r="G281" s="18">
        <v>0.56999999999999995</v>
      </c>
      <c r="H281" s="26">
        <v>0.56999999999999995</v>
      </c>
      <c r="I281" s="24">
        <v>0.56999999999999995</v>
      </c>
      <c r="J281" s="31">
        <v>0.56999999999999995</v>
      </c>
    </row>
    <row r="282" spans="1:10" ht="15.75" thickBot="1">
      <c r="A282" s="6">
        <v>1927</v>
      </c>
      <c r="B282" s="8" t="s">
        <v>86</v>
      </c>
      <c r="C282" s="8" t="s">
        <v>86</v>
      </c>
      <c r="D282" s="8" t="s">
        <v>87</v>
      </c>
      <c r="E282" s="9">
        <v>5.72</v>
      </c>
      <c r="F282" s="10" t="s">
        <v>684</v>
      </c>
      <c r="G282" s="19">
        <v>0</v>
      </c>
      <c r="H282" s="3">
        <v>0</v>
      </c>
      <c r="I282" s="16">
        <v>0</v>
      </c>
      <c r="J282" s="21">
        <v>0</v>
      </c>
    </row>
    <row r="283" spans="1:10" ht="15.75" thickBot="1">
      <c r="A283" s="2">
        <v>12310</v>
      </c>
      <c r="B283" s="8" t="s">
        <v>607</v>
      </c>
      <c r="C283" s="8" t="s">
        <v>642</v>
      </c>
      <c r="D283" s="8" t="s">
        <v>55</v>
      </c>
      <c r="E283" s="9">
        <v>8.27</v>
      </c>
      <c r="F283" s="10">
        <v>0.21</v>
      </c>
      <c r="G283" s="18">
        <v>0.19</v>
      </c>
      <c r="H283" s="26">
        <v>0.19</v>
      </c>
      <c r="I283" s="25">
        <v>0.15</v>
      </c>
      <c r="J283" s="31">
        <v>0.12</v>
      </c>
    </row>
    <row r="284" spans="1:10" ht="15.75" thickBot="1">
      <c r="A284" s="2">
        <v>12311</v>
      </c>
      <c r="B284" s="8" t="s">
        <v>610</v>
      </c>
      <c r="C284" s="8" t="s">
        <v>643</v>
      </c>
      <c r="D284" s="8" t="s">
        <v>54</v>
      </c>
      <c r="E284" s="9">
        <v>49.7</v>
      </c>
      <c r="F284" s="10">
        <v>0.02</v>
      </c>
      <c r="G284" s="18">
        <v>0.21</v>
      </c>
      <c r="H284" s="26">
        <v>0.21</v>
      </c>
      <c r="I284" s="25">
        <f>2176026/10^6</f>
        <v>2.1760259999999998</v>
      </c>
      <c r="J284" s="30">
        <v>2.52</v>
      </c>
    </row>
    <row r="285" spans="1:10" ht="15.75" thickBot="1">
      <c r="A285" s="2">
        <v>12312</v>
      </c>
      <c r="B285" s="8" t="s">
        <v>594</v>
      </c>
      <c r="C285" s="8" t="s">
        <v>644</v>
      </c>
      <c r="D285" s="8" t="s">
        <v>54</v>
      </c>
      <c r="E285" s="9">
        <v>15.02</v>
      </c>
      <c r="F285" s="10">
        <v>7.64</v>
      </c>
      <c r="G285" s="18">
        <v>7.68</v>
      </c>
      <c r="H285" s="26">
        <v>6.8</v>
      </c>
      <c r="I285" s="25">
        <v>6.8</v>
      </c>
      <c r="J285" s="31">
        <v>8.73</v>
      </c>
    </row>
    <row r="286" spans="1:10" ht="15.75" thickBot="1">
      <c r="A286" s="2">
        <v>12313</v>
      </c>
      <c r="B286" s="8" t="s">
        <v>175</v>
      </c>
      <c r="C286" s="8" t="s">
        <v>297</v>
      </c>
      <c r="D286" s="8" t="s">
        <v>22</v>
      </c>
      <c r="E286" s="9">
        <v>7.55</v>
      </c>
      <c r="F286" s="10">
        <v>0.6</v>
      </c>
      <c r="G286" s="18">
        <v>1.58</v>
      </c>
      <c r="H286" s="26">
        <v>1.55</v>
      </c>
      <c r="I286" s="25">
        <v>1.49</v>
      </c>
      <c r="J286" s="31">
        <v>1.44</v>
      </c>
    </row>
    <row r="287" spans="1:10" ht="15.75" thickBot="1">
      <c r="A287" s="2">
        <v>12314</v>
      </c>
      <c r="B287" s="8" t="s">
        <v>218</v>
      </c>
      <c r="C287" s="8" t="s">
        <v>298</v>
      </c>
      <c r="D287" s="8" t="s">
        <v>18</v>
      </c>
      <c r="E287" s="9">
        <v>71.83</v>
      </c>
      <c r="F287" s="10">
        <v>5.33</v>
      </c>
      <c r="G287" s="18">
        <v>5.26</v>
      </c>
      <c r="H287" s="26">
        <v>4.99</v>
      </c>
      <c r="I287" s="25">
        <v>5.15</v>
      </c>
      <c r="J287" s="31">
        <v>5.2</v>
      </c>
    </row>
    <row r="288" spans="1:10" ht="15.75" thickBot="1">
      <c r="A288" s="2">
        <v>12315</v>
      </c>
      <c r="B288" s="8" t="s">
        <v>73</v>
      </c>
      <c r="C288" s="8" t="s">
        <v>547</v>
      </c>
      <c r="D288" s="8" t="s">
        <v>48</v>
      </c>
      <c r="E288" s="9">
        <v>3</v>
      </c>
      <c r="F288" s="10">
        <v>0</v>
      </c>
      <c r="G288" s="18">
        <v>0</v>
      </c>
      <c r="H288" s="26">
        <v>0</v>
      </c>
      <c r="I288" s="24">
        <v>0</v>
      </c>
      <c r="J288" s="30">
        <v>0</v>
      </c>
    </row>
    <row r="289" spans="1:10" ht="15.75" thickBot="1">
      <c r="A289" s="2">
        <v>12316</v>
      </c>
      <c r="B289" s="8" t="s">
        <v>604</v>
      </c>
      <c r="C289" s="8" t="s">
        <v>604</v>
      </c>
      <c r="D289" s="8" t="s">
        <v>55</v>
      </c>
      <c r="E289" s="9">
        <v>55.9</v>
      </c>
      <c r="F289" s="10">
        <v>0</v>
      </c>
      <c r="G289" s="18">
        <v>0</v>
      </c>
      <c r="H289" s="26">
        <v>0.03</v>
      </c>
      <c r="I289" s="24">
        <v>0.03</v>
      </c>
      <c r="J289" s="31">
        <v>7.0000000000000007E-2</v>
      </c>
    </row>
    <row r="290" spans="1:10" ht="15.75" thickBot="1">
      <c r="A290" s="2">
        <v>12318</v>
      </c>
      <c r="B290" s="8" t="s">
        <v>692</v>
      </c>
      <c r="C290" s="8" t="s">
        <v>730</v>
      </c>
      <c r="D290" s="8" t="s">
        <v>15</v>
      </c>
      <c r="E290" s="9">
        <v>1.81</v>
      </c>
      <c r="F290" s="10">
        <v>0.05</v>
      </c>
      <c r="G290" s="18">
        <v>0.05</v>
      </c>
      <c r="H290" s="26">
        <v>0.05</v>
      </c>
      <c r="I290" s="24">
        <v>0.05</v>
      </c>
      <c r="J290" s="31">
        <v>0.05</v>
      </c>
    </row>
    <row r="291" spans="1:10" ht="15.75" thickBot="1">
      <c r="A291" s="2">
        <v>12320</v>
      </c>
      <c r="B291" s="8" t="s">
        <v>145</v>
      </c>
      <c r="C291" s="8" t="s">
        <v>146</v>
      </c>
      <c r="D291" s="8" t="s">
        <v>776</v>
      </c>
      <c r="E291" s="9">
        <v>1640</v>
      </c>
      <c r="F291" s="10">
        <v>758</v>
      </c>
      <c r="G291" s="18">
        <v>1137</v>
      </c>
      <c r="H291" s="26">
        <v>1111</v>
      </c>
      <c r="I291" s="25">
        <v>1091</v>
      </c>
      <c r="J291" s="30">
        <v>1047.33</v>
      </c>
    </row>
    <row r="292" spans="1:10" ht="15.75" thickBot="1">
      <c r="A292" s="7">
        <v>795</v>
      </c>
      <c r="B292" s="8" t="s">
        <v>60</v>
      </c>
      <c r="C292" s="8" t="s">
        <v>61</v>
      </c>
      <c r="D292" s="8" t="s">
        <v>778</v>
      </c>
      <c r="E292" s="9">
        <v>4836.82</v>
      </c>
      <c r="F292" s="12">
        <v>2842.64</v>
      </c>
      <c r="G292" s="3">
        <v>3145.65</v>
      </c>
      <c r="H292" s="3">
        <v>3108.52</v>
      </c>
      <c r="I292" s="17">
        <v>3003.12</v>
      </c>
      <c r="J292" s="22">
        <v>2962.4</v>
      </c>
    </row>
    <row r="293" spans="1:10" ht="15.75" thickBot="1">
      <c r="A293" s="2">
        <v>12321</v>
      </c>
      <c r="B293" s="8" t="s">
        <v>558</v>
      </c>
      <c r="C293" s="8" t="s">
        <v>572</v>
      </c>
      <c r="D293" s="8" t="s">
        <v>24</v>
      </c>
      <c r="E293" s="9">
        <v>216</v>
      </c>
      <c r="F293" s="10">
        <v>100</v>
      </c>
      <c r="G293" s="18">
        <v>90</v>
      </c>
      <c r="H293" s="26">
        <v>90</v>
      </c>
      <c r="I293" s="24">
        <v>90</v>
      </c>
      <c r="J293" s="22">
        <v>215.5</v>
      </c>
    </row>
    <row r="294" spans="1:10" ht="15.75" thickBot="1">
      <c r="A294" s="2">
        <v>12322</v>
      </c>
      <c r="B294" s="8" t="s">
        <v>147</v>
      </c>
      <c r="C294" s="8" t="s">
        <v>148</v>
      </c>
      <c r="D294" s="8" t="s">
        <v>777</v>
      </c>
      <c r="E294" s="9">
        <v>38.450000000000003</v>
      </c>
      <c r="F294" s="10">
        <v>29.9</v>
      </c>
      <c r="G294" s="18">
        <v>38.92</v>
      </c>
      <c r="H294" s="26">
        <v>38.1</v>
      </c>
      <c r="I294" s="25">
        <v>37.18</v>
      </c>
      <c r="J294" s="30">
        <v>32.58</v>
      </c>
    </row>
    <row r="295" spans="1:10" ht="15.75" thickBot="1">
      <c r="A295" s="2">
        <v>12323</v>
      </c>
      <c r="B295" s="8" t="s">
        <v>190</v>
      </c>
      <c r="C295" s="8" t="s">
        <v>299</v>
      </c>
      <c r="D295" s="8" t="s">
        <v>18</v>
      </c>
      <c r="E295" s="9">
        <v>434.04</v>
      </c>
      <c r="F295" s="10">
        <v>60.57</v>
      </c>
      <c r="G295" s="18">
        <v>60.26</v>
      </c>
      <c r="H295" s="26">
        <v>57.56</v>
      </c>
      <c r="I295" s="25">
        <v>55.76</v>
      </c>
      <c r="J295" s="30">
        <v>56.36</v>
      </c>
    </row>
    <row r="296" spans="1:10" ht="15.75" thickBot="1">
      <c r="A296" s="2">
        <v>12324</v>
      </c>
      <c r="B296" s="8" t="s">
        <v>168</v>
      </c>
      <c r="C296" s="8" t="s">
        <v>300</v>
      </c>
      <c r="D296" s="8" t="s">
        <v>13</v>
      </c>
      <c r="E296" s="9">
        <v>2.41</v>
      </c>
      <c r="F296" s="10">
        <v>0.67</v>
      </c>
      <c r="G296" s="18">
        <v>0.62</v>
      </c>
      <c r="H296" s="26">
        <v>0.57999999999999996</v>
      </c>
      <c r="I296" s="25">
        <v>0.56000000000000005</v>
      </c>
      <c r="J296" s="30">
        <v>0.54</v>
      </c>
    </row>
    <row r="297" spans="1:10" ht="15.75" thickBot="1">
      <c r="A297" s="2">
        <v>12325</v>
      </c>
      <c r="B297" s="8" t="s">
        <v>219</v>
      </c>
      <c r="C297" s="8" t="s">
        <v>219</v>
      </c>
      <c r="D297" s="8" t="s">
        <v>17</v>
      </c>
      <c r="E297" s="9">
        <v>360</v>
      </c>
      <c r="F297" s="10">
        <v>5.36</v>
      </c>
      <c r="G297" s="18">
        <v>5.24</v>
      </c>
      <c r="H297" s="26">
        <v>4.76</v>
      </c>
      <c r="I297" s="24">
        <v>4.53</v>
      </c>
      <c r="J297" s="31">
        <v>4.72</v>
      </c>
    </row>
    <row r="298" spans="1:10" ht="15.75" thickBot="1">
      <c r="A298" s="2">
        <v>12326</v>
      </c>
      <c r="B298" s="8" t="s">
        <v>697</v>
      </c>
      <c r="C298" s="8" t="s">
        <v>735</v>
      </c>
      <c r="D298" s="8" t="s">
        <v>13</v>
      </c>
      <c r="E298" s="9">
        <v>9.0299999999999994</v>
      </c>
      <c r="F298" s="10">
        <v>0.91</v>
      </c>
      <c r="G298" s="18">
        <v>0.95</v>
      </c>
      <c r="H298" s="26">
        <v>0.91</v>
      </c>
      <c r="I298" s="25">
        <v>0.88</v>
      </c>
      <c r="J298" s="30">
        <v>0.91</v>
      </c>
    </row>
    <row r="299" spans="1:10" ht="15.75" thickBot="1">
      <c r="A299" s="2">
        <v>12327</v>
      </c>
      <c r="B299" s="8" t="s">
        <v>568</v>
      </c>
      <c r="C299" s="8" t="s">
        <v>581</v>
      </c>
      <c r="D299" s="8" t="s">
        <v>24</v>
      </c>
      <c r="E299" s="9">
        <v>181.25</v>
      </c>
      <c r="F299" s="10">
        <v>11</v>
      </c>
      <c r="G299" s="18">
        <v>10</v>
      </c>
      <c r="H299" s="26">
        <v>10</v>
      </c>
      <c r="I299" s="24">
        <v>10</v>
      </c>
      <c r="J299" s="22">
        <v>38</v>
      </c>
    </row>
    <row r="300" spans="1:10" ht="15.75" thickBot="1">
      <c r="A300" s="2">
        <v>12328</v>
      </c>
      <c r="B300" s="8" t="s">
        <v>569</v>
      </c>
      <c r="C300" s="8" t="s">
        <v>582</v>
      </c>
      <c r="D300" s="8" t="s">
        <v>24</v>
      </c>
      <c r="E300" s="9">
        <v>104.51</v>
      </c>
      <c r="F300" s="10">
        <v>7</v>
      </c>
      <c r="G300" s="18">
        <v>6</v>
      </c>
      <c r="H300" s="26">
        <v>6</v>
      </c>
      <c r="I300" s="25">
        <v>6</v>
      </c>
      <c r="J300" s="21">
        <v>13.5</v>
      </c>
    </row>
    <row r="301" spans="1:10">
      <c r="A301" s="2">
        <v>12330</v>
      </c>
      <c r="B301" s="8" t="s">
        <v>396</v>
      </c>
      <c r="C301" s="8" t="s">
        <v>458</v>
      </c>
      <c r="D301" s="8" t="s">
        <v>36</v>
      </c>
      <c r="E301" s="9">
        <v>13</v>
      </c>
      <c r="F301" s="13">
        <f>387780/10^6</f>
        <v>0.38778000000000001</v>
      </c>
      <c r="G301" s="18">
        <v>0.39</v>
      </c>
      <c r="H301" s="26">
        <v>0.39</v>
      </c>
      <c r="I301" s="24">
        <v>0.28000000000000003</v>
      </c>
      <c r="J301" s="31">
        <v>0</v>
      </c>
    </row>
    <row r="302" spans="1:10">
      <c r="A302" s="2">
        <v>12329</v>
      </c>
      <c r="B302" s="8" t="s">
        <v>458</v>
      </c>
      <c r="C302" s="8" t="s">
        <v>458</v>
      </c>
      <c r="D302" s="8" t="s">
        <v>55</v>
      </c>
      <c r="E302" s="9">
        <v>5.9</v>
      </c>
      <c r="F302" s="11">
        <v>0</v>
      </c>
      <c r="G302" s="18">
        <v>0</v>
      </c>
      <c r="H302" s="26">
        <v>0</v>
      </c>
      <c r="I302" s="25">
        <v>0</v>
      </c>
      <c r="J302" s="31">
        <v>7.52</v>
      </c>
    </row>
    <row r="303" spans="1:10" ht="15.75" thickBot="1">
      <c r="A303" s="2">
        <v>12331</v>
      </c>
      <c r="B303" s="8" t="s">
        <v>710</v>
      </c>
      <c r="C303" s="8" t="s">
        <v>752</v>
      </c>
      <c r="D303" s="8" t="s">
        <v>11</v>
      </c>
      <c r="E303" s="9">
        <v>0.26</v>
      </c>
      <c r="F303" s="15">
        <f>116584/10^6</f>
        <v>0.11658399999999999</v>
      </c>
      <c r="G303" s="18">
        <v>0.1</v>
      </c>
      <c r="H303" s="26">
        <v>0.09</v>
      </c>
      <c r="I303" s="25">
        <v>0.09</v>
      </c>
      <c r="J303" s="30">
        <v>0.09</v>
      </c>
    </row>
    <row r="304" spans="1:10" ht="15.75" thickBot="1">
      <c r="A304" s="2">
        <v>12332</v>
      </c>
      <c r="B304" s="8" t="s">
        <v>716</v>
      </c>
      <c r="C304" s="8" t="s">
        <v>716</v>
      </c>
      <c r="D304" s="8" t="s">
        <v>777</v>
      </c>
      <c r="E304" s="9">
        <v>16.88</v>
      </c>
      <c r="F304" s="10">
        <v>16.2</v>
      </c>
      <c r="G304" s="18">
        <v>17</v>
      </c>
      <c r="H304" s="26">
        <v>16.91</v>
      </c>
      <c r="I304" s="25">
        <v>16.86</v>
      </c>
      <c r="J304" s="30">
        <v>16.489999999999998</v>
      </c>
    </row>
    <row r="305" spans="1:10" ht="15.75" thickBot="1">
      <c r="A305" s="2">
        <v>12333</v>
      </c>
      <c r="B305" s="8" t="s">
        <v>149</v>
      </c>
      <c r="C305" s="8" t="s">
        <v>150</v>
      </c>
      <c r="D305" s="8" t="s">
        <v>393</v>
      </c>
      <c r="E305" s="9">
        <v>15.22</v>
      </c>
      <c r="F305" s="10">
        <v>1.75</v>
      </c>
      <c r="G305" s="18">
        <v>16.62</v>
      </c>
      <c r="H305" s="26">
        <v>15.22</v>
      </c>
      <c r="I305" s="24">
        <v>14.37</v>
      </c>
      <c r="J305" s="30">
        <v>12.77</v>
      </c>
    </row>
    <row r="306" spans="1:10" ht="15.75" thickBot="1">
      <c r="A306" s="2">
        <v>12334</v>
      </c>
      <c r="B306" s="8" t="s">
        <v>200</v>
      </c>
      <c r="C306" s="8" t="s">
        <v>301</v>
      </c>
      <c r="D306" s="8" t="s">
        <v>18</v>
      </c>
      <c r="E306" s="9">
        <v>74</v>
      </c>
      <c r="F306" s="10">
        <v>0</v>
      </c>
      <c r="G306" s="18">
        <v>0</v>
      </c>
      <c r="H306" s="26">
        <v>0</v>
      </c>
      <c r="I306" s="24">
        <v>0</v>
      </c>
      <c r="J306" s="30">
        <v>0</v>
      </c>
    </row>
    <row r="307" spans="1:10">
      <c r="A307" s="1">
        <v>21662</v>
      </c>
      <c r="B307" s="8" t="s">
        <v>68</v>
      </c>
      <c r="C307" s="8" t="s">
        <v>68</v>
      </c>
      <c r="D307" s="8" t="s">
        <v>69</v>
      </c>
      <c r="E307" s="9">
        <v>250</v>
      </c>
      <c r="F307" s="10" t="s">
        <v>684</v>
      </c>
      <c r="G307" s="18" t="s">
        <v>684</v>
      </c>
      <c r="H307" s="26">
        <v>0</v>
      </c>
      <c r="I307" s="16" t="s">
        <v>684</v>
      </c>
      <c r="J307" s="21"/>
    </row>
    <row r="308" spans="1:10">
      <c r="A308" s="2">
        <v>12335</v>
      </c>
      <c r="B308" s="8" t="s">
        <v>368</v>
      </c>
      <c r="C308" s="8" t="s">
        <v>459</v>
      </c>
      <c r="D308" s="8" t="s">
        <v>11</v>
      </c>
      <c r="E308" s="9">
        <v>25.7</v>
      </c>
      <c r="F308" s="15">
        <f>6045190/10^6</f>
        <v>6.0451899999999998</v>
      </c>
      <c r="G308" s="18">
        <v>5.46</v>
      </c>
      <c r="H308" s="26">
        <v>5.5</v>
      </c>
      <c r="I308" s="24">
        <v>5.32</v>
      </c>
      <c r="J308" s="30">
        <v>5.64</v>
      </c>
    </row>
    <row r="309" spans="1:10" ht="15.75" thickBot="1">
      <c r="A309" s="2">
        <v>12339</v>
      </c>
      <c r="B309" s="8" t="s">
        <v>379</v>
      </c>
      <c r="C309" s="8" t="s">
        <v>383</v>
      </c>
      <c r="D309" s="8" t="s">
        <v>14</v>
      </c>
      <c r="E309" s="9">
        <v>6.79</v>
      </c>
      <c r="F309" s="14">
        <f>0/10^6</f>
        <v>0</v>
      </c>
      <c r="G309" s="18">
        <v>0</v>
      </c>
      <c r="H309" s="26">
        <v>0</v>
      </c>
      <c r="I309" s="25">
        <v>0</v>
      </c>
      <c r="J309" s="30">
        <v>0</v>
      </c>
    </row>
    <row r="310" spans="1:10" ht="15.75" thickBot="1">
      <c r="A310" s="2">
        <v>12340</v>
      </c>
      <c r="B310" s="8" t="s">
        <v>605</v>
      </c>
      <c r="C310" s="8" t="s">
        <v>786</v>
      </c>
      <c r="D310" s="8" t="s">
        <v>52</v>
      </c>
      <c r="E310" s="9">
        <v>135.16</v>
      </c>
      <c r="F310" s="10">
        <v>24.45</v>
      </c>
      <c r="G310" s="18">
        <v>22.68</v>
      </c>
      <c r="H310" s="26">
        <v>22.68</v>
      </c>
      <c r="I310" s="25">
        <v>20.6</v>
      </c>
      <c r="J310" s="31">
        <v>20.6</v>
      </c>
    </row>
    <row r="311" spans="1:10" ht="15.75" thickBot="1">
      <c r="A311" s="2">
        <v>12341</v>
      </c>
      <c r="B311" s="8" t="s">
        <v>222</v>
      </c>
      <c r="C311" s="8" t="s">
        <v>302</v>
      </c>
      <c r="D311" s="8" t="s">
        <v>15</v>
      </c>
      <c r="E311" s="9">
        <v>52</v>
      </c>
      <c r="F311" s="10">
        <v>1.1100000000000001</v>
      </c>
      <c r="G311" s="18">
        <v>1.0900000000000001</v>
      </c>
      <c r="H311" s="26">
        <v>0.93</v>
      </c>
      <c r="I311" s="24">
        <v>0.84</v>
      </c>
      <c r="J311" s="31">
        <v>0.74</v>
      </c>
    </row>
    <row r="312" spans="1:10" ht="15.75" thickBot="1">
      <c r="A312" s="2">
        <v>12342</v>
      </c>
      <c r="B312" s="8" t="s">
        <v>682</v>
      </c>
      <c r="C312" s="8" t="s">
        <v>682</v>
      </c>
      <c r="D312" s="8" t="s">
        <v>5</v>
      </c>
      <c r="E312" s="9">
        <v>0.72</v>
      </c>
      <c r="F312" s="10">
        <v>0.18</v>
      </c>
      <c r="G312" s="18">
        <v>0.18</v>
      </c>
      <c r="H312" s="26">
        <v>0.18</v>
      </c>
      <c r="I312" s="25">
        <v>0.18</v>
      </c>
      <c r="J312" s="30">
        <v>0.18</v>
      </c>
    </row>
    <row r="313" spans="1:10" ht="15.75" thickBot="1">
      <c r="A313" s="2">
        <v>12343</v>
      </c>
      <c r="B313" s="8" t="s">
        <v>191</v>
      </c>
      <c r="C313" s="8" t="s">
        <v>322</v>
      </c>
      <c r="D313" s="8" t="s">
        <v>18</v>
      </c>
      <c r="E313" s="9">
        <v>52</v>
      </c>
      <c r="F313" s="10">
        <v>1.02</v>
      </c>
      <c r="G313" s="18">
        <v>1.19</v>
      </c>
      <c r="H313" s="26">
        <v>1.08</v>
      </c>
      <c r="I313" s="24">
        <v>2.13</v>
      </c>
      <c r="J313" s="31">
        <v>2.11</v>
      </c>
    </row>
    <row r="314" spans="1:10" ht="15.75" thickBot="1">
      <c r="A314" s="2">
        <v>12344</v>
      </c>
      <c r="B314" s="8" t="s">
        <v>128</v>
      </c>
      <c r="C314" s="8" t="s">
        <v>151</v>
      </c>
      <c r="D314" s="8" t="s">
        <v>393</v>
      </c>
      <c r="E314" s="9">
        <v>32</v>
      </c>
      <c r="F314" s="10">
        <v>25.55</v>
      </c>
      <c r="G314" s="18">
        <v>37</v>
      </c>
      <c r="H314" s="26">
        <v>36.61</v>
      </c>
      <c r="I314" s="25">
        <v>36.65</v>
      </c>
      <c r="J314" s="30">
        <v>34.700000000000003</v>
      </c>
    </row>
    <row r="315" spans="1:10" ht="15.75" thickBot="1">
      <c r="A315" s="6">
        <v>2766</v>
      </c>
      <c r="B315" s="8" t="s">
        <v>65</v>
      </c>
      <c r="C315" s="8" t="s">
        <v>66</v>
      </c>
      <c r="D315" s="8" t="s">
        <v>67</v>
      </c>
      <c r="E315" s="9">
        <v>348</v>
      </c>
      <c r="F315" s="10" t="s">
        <v>684</v>
      </c>
      <c r="G315" s="3" t="s">
        <v>684</v>
      </c>
      <c r="H315" s="3" t="s">
        <v>684</v>
      </c>
      <c r="I315" s="17" t="s">
        <v>684</v>
      </c>
      <c r="J315" s="21" t="s">
        <v>684</v>
      </c>
    </row>
    <row r="316" spans="1:10" ht="15.75" thickBot="1">
      <c r="A316" s="2">
        <v>12345</v>
      </c>
      <c r="B316" s="8" t="s">
        <v>506</v>
      </c>
      <c r="C316" s="8" t="s">
        <v>548</v>
      </c>
      <c r="D316" s="8" t="s">
        <v>39</v>
      </c>
      <c r="E316" s="9">
        <v>27.75</v>
      </c>
      <c r="F316" s="10">
        <v>0</v>
      </c>
      <c r="G316" s="18">
        <v>0</v>
      </c>
      <c r="H316" s="26">
        <v>0</v>
      </c>
      <c r="I316" s="24">
        <v>0</v>
      </c>
      <c r="J316" s="31">
        <v>0</v>
      </c>
    </row>
    <row r="317" spans="1:10">
      <c r="A317" s="2">
        <v>12346</v>
      </c>
      <c r="B317" s="8" t="s">
        <v>704</v>
      </c>
      <c r="C317" s="8" t="s">
        <v>743</v>
      </c>
      <c r="D317" s="8" t="s">
        <v>46</v>
      </c>
      <c r="E317" s="9">
        <v>3.92</v>
      </c>
      <c r="F317" s="10">
        <v>1.18</v>
      </c>
      <c r="G317" s="18">
        <v>1.18</v>
      </c>
      <c r="H317" s="26">
        <v>1.18</v>
      </c>
      <c r="I317" s="24">
        <v>1.18</v>
      </c>
      <c r="J317" s="30">
        <v>1.18</v>
      </c>
    </row>
    <row r="318" spans="1:10" ht="15.75" thickBot="1">
      <c r="A318" s="2">
        <v>12347</v>
      </c>
      <c r="B318" s="8" t="s">
        <v>390</v>
      </c>
      <c r="C318" s="8" t="s">
        <v>460</v>
      </c>
      <c r="D318" s="8" t="s">
        <v>11</v>
      </c>
      <c r="E318" s="9">
        <v>8.93</v>
      </c>
      <c r="F318" s="15">
        <f>3178011/10^6</f>
        <v>3.1780110000000001</v>
      </c>
      <c r="G318" s="18">
        <v>3.34</v>
      </c>
      <c r="H318" s="26">
        <v>4.2</v>
      </c>
      <c r="I318" s="24">
        <v>4.34</v>
      </c>
      <c r="J318" s="31">
        <v>5.57</v>
      </c>
    </row>
    <row r="319" spans="1:10">
      <c r="A319" s="2">
        <v>12348</v>
      </c>
      <c r="B319" s="8" t="s">
        <v>230</v>
      </c>
      <c r="C319" s="8" t="s">
        <v>303</v>
      </c>
      <c r="D319" s="8" t="s">
        <v>22</v>
      </c>
      <c r="E319" s="9">
        <v>13.65</v>
      </c>
      <c r="F319" s="10">
        <v>3.26</v>
      </c>
      <c r="G319" s="18">
        <v>4.55</v>
      </c>
      <c r="H319" s="26">
        <v>4.25</v>
      </c>
      <c r="I319" s="24">
        <v>5.59</v>
      </c>
      <c r="J319" s="31">
        <v>8.16</v>
      </c>
    </row>
    <row r="320" spans="1:10" ht="15.75" thickBot="1">
      <c r="A320" s="2">
        <v>12349</v>
      </c>
      <c r="B320" s="8" t="s">
        <v>379</v>
      </c>
      <c r="C320" s="8" t="s">
        <v>143</v>
      </c>
      <c r="D320" s="8" t="s">
        <v>14</v>
      </c>
      <c r="E320" s="9">
        <v>29.86</v>
      </c>
      <c r="F320" s="15">
        <f>105770/10^6</f>
        <v>0.10577</v>
      </c>
      <c r="G320" s="18">
        <v>0.89</v>
      </c>
      <c r="H320" s="26">
        <v>1.96</v>
      </c>
      <c r="I320" s="25">
        <v>1.89</v>
      </c>
      <c r="J320" s="30">
        <v>1.75</v>
      </c>
    </row>
    <row r="321" spans="1:10">
      <c r="A321" s="2">
        <v>12350</v>
      </c>
      <c r="B321" s="8" t="s">
        <v>570</v>
      </c>
      <c r="C321" s="8" t="s">
        <v>583</v>
      </c>
      <c r="D321" s="8" t="s">
        <v>24</v>
      </c>
      <c r="E321" s="9">
        <v>0.91</v>
      </c>
      <c r="F321" s="10">
        <v>0.35</v>
      </c>
      <c r="G321" s="18">
        <v>0.3</v>
      </c>
      <c r="H321" s="26">
        <v>0.3</v>
      </c>
      <c r="I321" s="24">
        <v>0.3</v>
      </c>
      <c r="J321" s="22">
        <v>0.8</v>
      </c>
    </row>
    <row r="322" spans="1:10" ht="15.75" thickBot="1">
      <c r="A322" s="2">
        <v>12351</v>
      </c>
      <c r="B322" s="8" t="s">
        <v>350</v>
      </c>
      <c r="C322" s="8" t="s">
        <v>461</v>
      </c>
      <c r="D322" s="8" t="s">
        <v>27</v>
      </c>
      <c r="E322" s="9">
        <v>7.93</v>
      </c>
      <c r="F322" s="15">
        <f>290476/10^6</f>
        <v>0.29047600000000001</v>
      </c>
      <c r="G322" s="18">
        <v>0.3</v>
      </c>
      <c r="H322" s="26">
        <v>0.56000000000000005</v>
      </c>
      <c r="I322" s="25">
        <v>0.56000000000000005</v>
      </c>
      <c r="J322" s="31">
        <v>0.22</v>
      </c>
    </row>
    <row r="323" spans="1:10" ht="15.75" thickBot="1">
      <c r="A323" s="2">
        <v>12352</v>
      </c>
      <c r="B323" s="8" t="s">
        <v>226</v>
      </c>
      <c r="C323" s="8" t="s">
        <v>323</v>
      </c>
      <c r="D323" s="8" t="s">
        <v>13</v>
      </c>
      <c r="E323" s="9">
        <v>143</v>
      </c>
      <c r="F323" s="10">
        <v>7.06</v>
      </c>
      <c r="G323" s="18">
        <v>7.04</v>
      </c>
      <c r="H323" s="26">
        <v>6.82</v>
      </c>
      <c r="I323" s="24">
        <v>7.41</v>
      </c>
      <c r="J323" s="30">
        <v>7.36</v>
      </c>
    </row>
    <row r="324" spans="1:10" ht="15.75" thickBot="1">
      <c r="A324" s="2">
        <v>12353</v>
      </c>
      <c r="B324" s="8" t="s">
        <v>707</v>
      </c>
      <c r="C324" s="8" t="s">
        <v>749</v>
      </c>
      <c r="D324" s="8" t="s">
        <v>7</v>
      </c>
      <c r="E324" s="9">
        <v>0.76</v>
      </c>
      <c r="F324" s="10">
        <v>0.46</v>
      </c>
      <c r="G324" s="18">
        <v>0.46</v>
      </c>
      <c r="H324" s="26">
        <v>0.46</v>
      </c>
      <c r="I324" s="24">
        <v>0.46</v>
      </c>
      <c r="J324" s="30">
        <v>0.46</v>
      </c>
    </row>
    <row r="325" spans="1:10" ht="15.75" thickBot="1">
      <c r="A325" s="2">
        <v>12354</v>
      </c>
      <c r="B325" s="8" t="s">
        <v>152</v>
      </c>
      <c r="C325" s="8" t="s">
        <v>153</v>
      </c>
      <c r="D325" s="8" t="s">
        <v>777</v>
      </c>
      <c r="E325" s="9">
        <v>38.94</v>
      </c>
      <c r="F325" s="10">
        <v>27.67</v>
      </c>
      <c r="G325" s="18">
        <v>39.01</v>
      </c>
      <c r="H325" s="26">
        <v>38.799999999999997</v>
      </c>
      <c r="I325" s="25">
        <v>37.380000000000003</v>
      </c>
      <c r="J325" s="31">
        <v>29.57</v>
      </c>
    </row>
    <row r="326" spans="1:10">
      <c r="A326" s="2">
        <v>12355</v>
      </c>
      <c r="B326" s="8" t="s">
        <v>237</v>
      </c>
      <c r="C326" s="8" t="s">
        <v>237</v>
      </c>
      <c r="D326" s="8" t="s">
        <v>19</v>
      </c>
      <c r="E326" s="9">
        <v>6.33</v>
      </c>
      <c r="F326" s="10">
        <v>0.03</v>
      </c>
      <c r="G326" s="18">
        <v>0.1</v>
      </c>
      <c r="H326" s="26">
        <v>7.0000000000000007E-2</v>
      </c>
      <c r="I326" s="24">
        <v>0.06</v>
      </c>
      <c r="J326" s="30">
        <v>0.04</v>
      </c>
    </row>
    <row r="327" spans="1:10" ht="15.75" thickBot="1">
      <c r="A327" s="2">
        <v>12357</v>
      </c>
      <c r="B327" s="8" t="s">
        <v>384</v>
      </c>
      <c r="C327" s="8" t="s">
        <v>462</v>
      </c>
      <c r="D327" s="8" t="s">
        <v>14</v>
      </c>
      <c r="E327" s="9">
        <v>1.31</v>
      </c>
      <c r="F327" s="15">
        <f>440/10^6</f>
        <v>4.4000000000000002E-4</v>
      </c>
      <c r="G327" s="18">
        <v>0</v>
      </c>
      <c r="H327" s="26">
        <v>0</v>
      </c>
      <c r="I327" s="24">
        <f>440/10^6</f>
        <v>4.4000000000000002E-4</v>
      </c>
      <c r="J327" s="31">
        <v>0</v>
      </c>
    </row>
    <row r="328" spans="1:10" ht="15.75" thickBot="1">
      <c r="A328" s="2">
        <v>12358</v>
      </c>
      <c r="B328" s="8" t="s">
        <v>220</v>
      </c>
      <c r="C328" s="8" t="s">
        <v>304</v>
      </c>
      <c r="D328" s="8" t="s">
        <v>16</v>
      </c>
      <c r="E328" s="9">
        <v>32.5</v>
      </c>
      <c r="F328" s="10">
        <v>3.96</v>
      </c>
      <c r="G328" s="18">
        <v>3.61</v>
      </c>
      <c r="H328" s="26">
        <v>3.18</v>
      </c>
      <c r="I328" s="25">
        <v>4.87</v>
      </c>
      <c r="J328" s="30">
        <v>4.84</v>
      </c>
    </row>
    <row r="329" spans="1:10" ht="15.75" thickBot="1">
      <c r="A329" s="2">
        <v>12360</v>
      </c>
      <c r="B329" s="8" t="s">
        <v>230</v>
      </c>
      <c r="C329" s="8" t="s">
        <v>740</v>
      </c>
      <c r="D329" s="8" t="s">
        <v>22</v>
      </c>
      <c r="E329" s="9">
        <v>4</v>
      </c>
      <c r="F329" s="10">
        <v>1.42</v>
      </c>
      <c r="G329" s="18">
        <v>1.95</v>
      </c>
      <c r="H329" s="26">
        <v>3.01</v>
      </c>
      <c r="I329" s="25">
        <v>3.37</v>
      </c>
      <c r="J329" s="30">
        <v>3.37</v>
      </c>
    </row>
    <row r="330" spans="1:10">
      <c r="A330" s="6">
        <v>1176</v>
      </c>
      <c r="B330" s="8" t="s">
        <v>82</v>
      </c>
      <c r="C330" s="8" t="s">
        <v>83</v>
      </c>
      <c r="D330" s="8" t="s">
        <v>84</v>
      </c>
      <c r="E330" s="9">
        <v>3.19</v>
      </c>
      <c r="F330" s="10" t="s">
        <v>684</v>
      </c>
      <c r="G330" s="3" t="s">
        <v>684</v>
      </c>
      <c r="H330" s="3" t="s">
        <v>684</v>
      </c>
      <c r="I330" s="17">
        <f>175/10^3</f>
        <v>0.17499999999999999</v>
      </c>
      <c r="J330" s="21">
        <f>175/10^3</f>
        <v>0.17499999999999999</v>
      </c>
    </row>
    <row r="331" spans="1:10" ht="15.75" thickBot="1">
      <c r="A331" s="2">
        <v>12361</v>
      </c>
      <c r="B331" s="8" t="s">
        <v>391</v>
      </c>
      <c r="C331" s="8" t="s">
        <v>463</v>
      </c>
      <c r="D331" s="8" t="s">
        <v>11</v>
      </c>
      <c r="E331" s="9">
        <v>15.63</v>
      </c>
      <c r="F331" s="15">
        <f>4970759/10^6</f>
        <v>4.9707590000000001</v>
      </c>
      <c r="G331" s="18">
        <v>5.0199999999999996</v>
      </c>
      <c r="H331" s="26">
        <v>5.13</v>
      </c>
      <c r="I331" s="25">
        <v>5.16</v>
      </c>
      <c r="J331" s="31">
        <v>5.44</v>
      </c>
    </row>
    <row r="332" spans="1:10" ht="15.75" thickBot="1">
      <c r="A332" s="2">
        <v>12362</v>
      </c>
      <c r="B332" s="8" t="s">
        <v>154</v>
      </c>
      <c r="C332" s="8" t="s">
        <v>753</v>
      </c>
      <c r="D332" s="8" t="s">
        <v>777</v>
      </c>
      <c r="E332" s="9">
        <v>4.2300000000000004</v>
      </c>
      <c r="F332" s="10">
        <v>2.97</v>
      </c>
      <c r="G332" s="18">
        <v>4.3499999999999996</v>
      </c>
      <c r="H332" s="26">
        <v>4.2300000000000004</v>
      </c>
      <c r="I332" s="24">
        <v>4.2300000000000004</v>
      </c>
      <c r="J332" s="30">
        <v>3.82</v>
      </c>
    </row>
    <row r="333" spans="1:10" ht="15.75" thickBot="1">
      <c r="A333" s="2">
        <v>12363</v>
      </c>
      <c r="B333" s="8" t="s">
        <v>342</v>
      </c>
      <c r="C333" s="8" t="s">
        <v>340</v>
      </c>
      <c r="D333" s="8" t="s">
        <v>15</v>
      </c>
      <c r="E333" s="9">
        <v>4.33</v>
      </c>
      <c r="F333" s="10">
        <v>0</v>
      </c>
      <c r="G333" s="18">
        <v>0</v>
      </c>
      <c r="H333" s="26">
        <v>0</v>
      </c>
      <c r="I333" s="25">
        <v>0.51</v>
      </c>
      <c r="J333" s="30">
        <v>0.48</v>
      </c>
    </row>
    <row r="334" spans="1:10" ht="15.75" thickBot="1">
      <c r="A334" s="2">
        <v>12364</v>
      </c>
      <c r="B334" s="8" t="s">
        <v>202</v>
      </c>
      <c r="C334" s="8" t="s">
        <v>324</v>
      </c>
      <c r="D334" s="8" t="s">
        <v>16</v>
      </c>
      <c r="E334" s="9">
        <v>31.78</v>
      </c>
      <c r="F334" s="10">
        <v>1.26</v>
      </c>
      <c r="G334" s="18">
        <v>0.95</v>
      </c>
      <c r="H334" s="26">
        <v>0.93</v>
      </c>
      <c r="I334" s="25">
        <v>0.93</v>
      </c>
      <c r="J334" s="31">
        <v>0.9</v>
      </c>
    </row>
    <row r="335" spans="1:10" ht="15.75" thickBot="1">
      <c r="A335" s="2">
        <v>12365</v>
      </c>
      <c r="B335" s="8" t="s">
        <v>200</v>
      </c>
      <c r="C335" s="8" t="s">
        <v>200</v>
      </c>
      <c r="D335" s="8" t="s">
        <v>18</v>
      </c>
      <c r="E335" s="9">
        <v>54</v>
      </c>
      <c r="F335" s="10">
        <v>0</v>
      </c>
      <c r="G335" s="18">
        <v>0</v>
      </c>
      <c r="H335" s="26">
        <v>0</v>
      </c>
      <c r="I335" s="25">
        <v>0</v>
      </c>
      <c r="J335" s="31">
        <v>0</v>
      </c>
    </row>
    <row r="336" spans="1:10" ht="15.75" thickBot="1">
      <c r="A336" s="2">
        <v>12366</v>
      </c>
      <c r="B336" s="8" t="s">
        <v>486</v>
      </c>
      <c r="C336" s="8" t="s">
        <v>549</v>
      </c>
      <c r="D336" s="8" t="s">
        <v>45</v>
      </c>
      <c r="E336" s="9">
        <v>1.04</v>
      </c>
      <c r="F336" s="10">
        <v>0.06</v>
      </c>
      <c r="G336" s="18">
        <v>0.06</v>
      </c>
      <c r="H336" s="26">
        <v>0.06</v>
      </c>
      <c r="I336" s="24">
        <v>0.06</v>
      </c>
      <c r="J336" s="30">
        <v>0.06</v>
      </c>
    </row>
    <row r="337" spans="1:10" ht="15.75" thickBot="1">
      <c r="A337" s="2">
        <v>12367</v>
      </c>
      <c r="B337" s="8" t="s">
        <v>187</v>
      </c>
      <c r="C337" s="8" t="s">
        <v>305</v>
      </c>
      <c r="D337" s="8" t="s">
        <v>10</v>
      </c>
      <c r="E337" s="9">
        <v>31.55</v>
      </c>
      <c r="F337" s="10">
        <v>0.28000000000000003</v>
      </c>
      <c r="G337" s="18">
        <v>2.63</v>
      </c>
      <c r="H337" s="26">
        <v>2.59</v>
      </c>
      <c r="I337" s="25">
        <v>2.66</v>
      </c>
      <c r="J337" s="30">
        <v>2.57</v>
      </c>
    </row>
    <row r="338" spans="1:10" ht="15.75" thickBot="1">
      <c r="A338" s="2">
        <v>12368</v>
      </c>
      <c r="B338" s="8" t="s">
        <v>114</v>
      </c>
      <c r="C338" s="8" t="s">
        <v>115</v>
      </c>
      <c r="D338" s="8" t="s">
        <v>5</v>
      </c>
      <c r="E338" s="9">
        <v>1.7</v>
      </c>
      <c r="F338" s="10">
        <v>0.68</v>
      </c>
      <c r="G338" s="18">
        <v>0.68</v>
      </c>
      <c r="H338" s="26">
        <v>0.68</v>
      </c>
      <c r="I338" s="25">
        <v>0.68</v>
      </c>
      <c r="J338" s="31">
        <v>0.68</v>
      </c>
    </row>
    <row r="339" spans="1:10">
      <c r="A339" s="2">
        <v>12370</v>
      </c>
      <c r="B339" s="8" t="s">
        <v>606</v>
      </c>
      <c r="C339" s="8" t="s">
        <v>645</v>
      </c>
      <c r="D339" s="8" t="s">
        <v>55</v>
      </c>
      <c r="E339" s="9">
        <v>9.6</v>
      </c>
      <c r="F339" s="10">
        <v>3.13</v>
      </c>
      <c r="G339" s="18">
        <v>2.82</v>
      </c>
      <c r="H339" s="26">
        <v>2.82</v>
      </c>
      <c r="I339" s="25">
        <v>2.5299999999999998</v>
      </c>
      <c r="J339" s="31">
        <v>2.17</v>
      </c>
    </row>
    <row r="340" spans="1:10" ht="15.75" thickBot="1">
      <c r="A340" s="2">
        <v>12372</v>
      </c>
      <c r="B340" s="8" t="s">
        <v>409</v>
      </c>
      <c r="C340" s="8" t="s">
        <v>464</v>
      </c>
      <c r="D340" s="8" t="s">
        <v>31</v>
      </c>
      <c r="E340" s="9">
        <v>6.41</v>
      </c>
      <c r="F340" s="15">
        <f>3351/10^6</f>
        <v>3.3509999999999998E-3</v>
      </c>
      <c r="G340" s="18">
        <v>0</v>
      </c>
      <c r="H340" s="26">
        <v>0</v>
      </c>
      <c r="I340" s="24">
        <v>1.75</v>
      </c>
      <c r="J340" s="30">
        <v>0.06</v>
      </c>
    </row>
    <row r="341" spans="1:10" ht="15.75" thickBot="1">
      <c r="A341" s="2">
        <v>12371</v>
      </c>
      <c r="B341" s="8" t="s">
        <v>696</v>
      </c>
      <c r="C341" s="8" t="s">
        <v>734</v>
      </c>
      <c r="D341" s="8" t="s">
        <v>19</v>
      </c>
      <c r="E341" s="9">
        <v>23.47</v>
      </c>
      <c r="F341" s="10">
        <v>1.06</v>
      </c>
      <c r="G341" s="18">
        <v>1.31</v>
      </c>
      <c r="H341" s="26">
        <v>1.1599999999999999</v>
      </c>
      <c r="I341" s="24">
        <v>0</v>
      </c>
      <c r="J341" s="30">
        <v>1.6</v>
      </c>
    </row>
    <row r="342" spans="1:10" ht="15.75" thickBot="1">
      <c r="A342" s="2">
        <v>12373</v>
      </c>
      <c r="B342" s="8" t="s">
        <v>702</v>
      </c>
      <c r="C342" s="8" t="s">
        <v>739</v>
      </c>
      <c r="D342" s="8" t="s">
        <v>674</v>
      </c>
      <c r="E342" s="9">
        <v>1.06</v>
      </c>
      <c r="F342" s="10">
        <v>0.26</v>
      </c>
      <c r="G342" s="18">
        <v>0.26</v>
      </c>
      <c r="H342" s="26">
        <v>0.26</v>
      </c>
      <c r="I342" s="25">
        <v>0.26</v>
      </c>
      <c r="J342" s="31">
        <v>0.26</v>
      </c>
    </row>
    <row r="343" spans="1:10" ht="15.75" thickBot="1">
      <c r="A343" s="2">
        <v>12374</v>
      </c>
      <c r="B343" s="8" t="s">
        <v>155</v>
      </c>
      <c r="C343" s="8" t="s">
        <v>669</v>
      </c>
      <c r="D343" s="8" t="s">
        <v>139</v>
      </c>
      <c r="E343" s="9">
        <v>53.8</v>
      </c>
      <c r="F343" s="10">
        <v>1.32</v>
      </c>
      <c r="G343" s="23">
        <v>1.32</v>
      </c>
      <c r="H343" s="26">
        <v>8.52</v>
      </c>
      <c r="I343" s="25">
        <v>7.93</v>
      </c>
      <c r="J343" s="30">
        <v>7.04</v>
      </c>
    </row>
    <row r="344" spans="1:10">
      <c r="A344" s="2">
        <v>12375</v>
      </c>
      <c r="B344" s="8" t="s">
        <v>240</v>
      </c>
      <c r="C344" s="8" t="s">
        <v>306</v>
      </c>
      <c r="D344" s="8" t="s">
        <v>19</v>
      </c>
      <c r="E344" s="9">
        <v>61.42</v>
      </c>
      <c r="F344" s="10">
        <v>1.83</v>
      </c>
      <c r="G344" s="18">
        <v>1.75</v>
      </c>
      <c r="H344" s="26">
        <v>1.49</v>
      </c>
      <c r="I344" s="25">
        <v>1.45</v>
      </c>
      <c r="J344" s="30">
        <v>1.54</v>
      </c>
    </row>
    <row r="345" spans="1:10">
      <c r="A345" s="2">
        <v>12376</v>
      </c>
      <c r="B345" s="8" t="s">
        <v>387</v>
      </c>
      <c r="C345" s="8" t="s">
        <v>465</v>
      </c>
      <c r="D345" s="8" t="s">
        <v>34</v>
      </c>
      <c r="E345" s="9">
        <v>17.7</v>
      </c>
      <c r="F345" s="15">
        <f>80215/10^6</f>
        <v>8.0214999999999995E-2</v>
      </c>
      <c r="G345" s="18">
        <v>0.01</v>
      </c>
      <c r="H345" s="26">
        <v>0.01</v>
      </c>
      <c r="I345" s="24">
        <v>0.01</v>
      </c>
      <c r="J345" s="30">
        <f>4688/10^6</f>
        <v>4.6880000000000003E-3</v>
      </c>
    </row>
    <row r="346" spans="1:10">
      <c r="A346" s="2">
        <v>12377</v>
      </c>
      <c r="B346" s="8" t="s">
        <v>485</v>
      </c>
      <c r="C346" s="8" t="s">
        <v>466</v>
      </c>
      <c r="D346" s="8" t="s">
        <v>25</v>
      </c>
      <c r="E346" s="9">
        <v>6.83</v>
      </c>
      <c r="F346" s="15">
        <f>44375/10^6</f>
        <v>4.4374999999999998E-2</v>
      </c>
      <c r="G346" s="18">
        <v>0.04</v>
      </c>
      <c r="H346" s="26">
        <v>0.05</v>
      </c>
      <c r="I346" s="25">
        <v>0.03</v>
      </c>
      <c r="J346" s="31">
        <v>0.03</v>
      </c>
    </row>
    <row r="347" spans="1:10" ht="15.75" thickBot="1">
      <c r="A347" s="7">
        <v>1199</v>
      </c>
      <c r="B347" s="8" t="s">
        <v>70</v>
      </c>
      <c r="C347" s="8" t="s">
        <v>71</v>
      </c>
      <c r="D347" s="8" t="s">
        <v>72</v>
      </c>
      <c r="E347" s="9">
        <v>1.26</v>
      </c>
      <c r="F347" s="15">
        <f>242363/10^6</f>
        <v>0.242363</v>
      </c>
      <c r="G347" s="3">
        <f>200319/10^6</f>
        <v>0.200319</v>
      </c>
      <c r="H347" s="3">
        <f>200319/10^6</f>
        <v>0.200319</v>
      </c>
      <c r="I347" s="17">
        <f>181632/10^6</f>
        <v>0.18163199999999999</v>
      </c>
      <c r="J347" s="22">
        <f>181632/10^6</f>
        <v>0.18163199999999999</v>
      </c>
    </row>
    <row r="348" spans="1:10" ht="15.75" thickBot="1">
      <c r="A348" s="2">
        <v>12378</v>
      </c>
      <c r="B348" s="8" t="s">
        <v>717</v>
      </c>
      <c r="C348" s="8" t="s">
        <v>717</v>
      </c>
      <c r="D348" s="8" t="s">
        <v>672</v>
      </c>
      <c r="E348" s="9">
        <v>0.92</v>
      </c>
      <c r="F348" s="10">
        <v>0.9</v>
      </c>
      <c r="G348" s="18">
        <v>0.9</v>
      </c>
      <c r="H348" s="26">
        <v>0.9</v>
      </c>
      <c r="I348" s="25">
        <v>0.87</v>
      </c>
      <c r="J348" s="31">
        <v>0.87</v>
      </c>
    </row>
    <row r="349" spans="1:10" ht="15.75" thickBot="1">
      <c r="A349" s="2">
        <v>12379</v>
      </c>
      <c r="B349" s="8" t="s">
        <v>91</v>
      </c>
      <c r="C349" s="8" t="s">
        <v>646</v>
      </c>
      <c r="D349" s="8" t="s">
        <v>54</v>
      </c>
      <c r="E349" s="9">
        <v>13.6</v>
      </c>
      <c r="F349" s="10">
        <v>0.83</v>
      </c>
      <c r="G349" s="18">
        <v>0.72</v>
      </c>
      <c r="H349" s="26">
        <v>0.72</v>
      </c>
      <c r="I349" s="24">
        <v>0.62</v>
      </c>
      <c r="J349" s="31">
        <v>0.62</v>
      </c>
    </row>
    <row r="350" spans="1:10" ht="15.75" thickBot="1">
      <c r="A350" s="2">
        <v>12380</v>
      </c>
      <c r="B350" s="8" t="s">
        <v>224</v>
      </c>
      <c r="C350" s="8" t="s">
        <v>307</v>
      </c>
      <c r="D350" s="8" t="s">
        <v>15</v>
      </c>
      <c r="E350" s="9">
        <v>19.52</v>
      </c>
      <c r="F350" s="10">
        <v>2.04</v>
      </c>
      <c r="G350" s="18">
        <v>2.2200000000000002</v>
      </c>
      <c r="H350" s="26">
        <v>1.98</v>
      </c>
      <c r="I350" s="25">
        <v>2.06</v>
      </c>
      <c r="J350" s="31">
        <v>1.94</v>
      </c>
    </row>
    <row r="351" spans="1:10" ht="15.75" thickBot="1">
      <c r="A351" s="2">
        <v>12381</v>
      </c>
      <c r="B351" s="8" t="s">
        <v>617</v>
      </c>
      <c r="C351" s="8" t="s">
        <v>647</v>
      </c>
      <c r="D351" s="8" t="s">
        <v>55</v>
      </c>
      <c r="E351" s="9">
        <v>21.4</v>
      </c>
      <c r="F351" s="10">
        <v>2.2000000000000002</v>
      </c>
      <c r="G351" s="18">
        <v>2.02</v>
      </c>
      <c r="H351" s="26">
        <v>2.02</v>
      </c>
      <c r="I351" s="25">
        <v>1.99</v>
      </c>
      <c r="J351" s="30">
        <v>1.95</v>
      </c>
    </row>
    <row r="352" spans="1:10" ht="15.75" thickBot="1">
      <c r="A352" s="2">
        <v>12382</v>
      </c>
      <c r="B352" s="8" t="s">
        <v>156</v>
      </c>
      <c r="C352" s="8" t="s">
        <v>670</v>
      </c>
      <c r="D352" s="8" t="s">
        <v>777</v>
      </c>
      <c r="E352" s="9">
        <v>146.82</v>
      </c>
      <c r="F352" s="10">
        <v>14.48</v>
      </c>
      <c r="G352" s="18">
        <v>152.59</v>
      </c>
      <c r="H352" s="26">
        <v>145.88</v>
      </c>
      <c r="I352" s="25">
        <v>140.94</v>
      </c>
      <c r="J352" s="31">
        <v>134.83000000000001</v>
      </c>
    </row>
    <row r="353" spans="1:10" ht="15.75" thickBot="1">
      <c r="A353" s="2">
        <v>12384</v>
      </c>
      <c r="B353" s="8" t="s">
        <v>231</v>
      </c>
      <c r="C353" s="8" t="s">
        <v>332</v>
      </c>
      <c r="D353" s="8" t="s">
        <v>16</v>
      </c>
      <c r="E353" s="9">
        <v>47.2</v>
      </c>
      <c r="F353" s="10">
        <v>6.12</v>
      </c>
      <c r="G353" s="18">
        <v>7.88</v>
      </c>
      <c r="H353" s="26">
        <v>7.13</v>
      </c>
      <c r="I353" s="25">
        <v>15.52</v>
      </c>
      <c r="J353" s="31">
        <v>15.73</v>
      </c>
    </row>
    <row r="354" spans="1:10">
      <c r="A354" s="2">
        <v>12383</v>
      </c>
      <c r="B354" s="8" t="s">
        <v>496</v>
      </c>
      <c r="C354" s="8" t="s">
        <v>332</v>
      </c>
      <c r="D354" s="8" t="s">
        <v>38</v>
      </c>
      <c r="E354" s="9">
        <v>34.99</v>
      </c>
      <c r="F354" s="10">
        <v>0.09</v>
      </c>
      <c r="G354" s="18">
        <v>0.09</v>
      </c>
      <c r="H354" s="26">
        <v>0</v>
      </c>
      <c r="I354" s="25">
        <v>0</v>
      </c>
      <c r="J354" s="30">
        <v>0</v>
      </c>
    </row>
    <row r="355" spans="1:10" ht="15.75" thickBot="1">
      <c r="A355" s="2">
        <v>12385</v>
      </c>
      <c r="B355" s="8" t="s">
        <v>409</v>
      </c>
      <c r="C355" s="8" t="s">
        <v>467</v>
      </c>
      <c r="D355" s="8" t="s">
        <v>31</v>
      </c>
      <c r="E355" s="9">
        <v>1.95</v>
      </c>
      <c r="F355" s="15">
        <f>1536/10^6</f>
        <v>1.536E-3</v>
      </c>
      <c r="G355" s="18">
        <v>0</v>
      </c>
      <c r="H355" s="26">
        <v>0</v>
      </c>
      <c r="I355" s="24">
        <v>0</v>
      </c>
      <c r="J355" s="31">
        <f>1024/10^6</f>
        <v>1.024E-3</v>
      </c>
    </row>
    <row r="356" spans="1:10">
      <c r="A356" s="2">
        <v>12386</v>
      </c>
      <c r="B356" s="8" t="s">
        <v>648</v>
      </c>
      <c r="C356" s="8" t="s">
        <v>649</v>
      </c>
      <c r="D356" s="8" t="s">
        <v>54</v>
      </c>
      <c r="E356" s="9">
        <v>65.33</v>
      </c>
      <c r="F356" s="10">
        <v>3.02</v>
      </c>
      <c r="G356" s="18">
        <v>3.32</v>
      </c>
      <c r="H356" s="26">
        <v>3.32</v>
      </c>
      <c r="I356" s="25">
        <v>3.1</v>
      </c>
      <c r="J356" s="31">
        <v>8.09</v>
      </c>
    </row>
    <row r="357" spans="1:10" ht="15.75" thickBot="1">
      <c r="A357" s="2">
        <v>12387</v>
      </c>
      <c r="B357" s="8" t="s">
        <v>380</v>
      </c>
      <c r="C357" s="8" t="s">
        <v>468</v>
      </c>
      <c r="D357" s="8" t="s">
        <v>11</v>
      </c>
      <c r="E357" s="9">
        <v>97.49</v>
      </c>
      <c r="F357" s="15">
        <f>22207717/10^6</f>
        <v>22.207716999999999</v>
      </c>
      <c r="G357" s="18">
        <v>22.21</v>
      </c>
      <c r="H357" s="26">
        <v>22.99</v>
      </c>
      <c r="I357" s="24">
        <f>22738466/10^6</f>
        <v>22.738465999999999</v>
      </c>
      <c r="J357" s="30">
        <v>22.74</v>
      </c>
    </row>
    <row r="358" spans="1:10" ht="15.75" thickBot="1">
      <c r="A358" s="6">
        <v>1182</v>
      </c>
      <c r="B358" s="8" t="s">
        <v>85</v>
      </c>
      <c r="C358" s="8" t="s">
        <v>550</v>
      </c>
      <c r="D358" s="8" t="s">
        <v>84</v>
      </c>
      <c r="E358" s="9">
        <v>36</v>
      </c>
      <c r="F358" s="10" t="s">
        <v>684</v>
      </c>
      <c r="G358" s="3" t="s">
        <v>684</v>
      </c>
      <c r="H358" s="3">
        <v>0</v>
      </c>
      <c r="I358" s="16">
        <v>0</v>
      </c>
      <c r="J358" s="22">
        <v>0</v>
      </c>
    </row>
    <row r="359" spans="1:10" ht="15.75" thickBot="1">
      <c r="A359" s="2">
        <v>12388</v>
      </c>
      <c r="B359" s="8" t="s">
        <v>507</v>
      </c>
      <c r="C359" s="8" t="s">
        <v>551</v>
      </c>
      <c r="D359" s="8" t="s">
        <v>44</v>
      </c>
      <c r="E359" s="9">
        <v>123.52</v>
      </c>
      <c r="F359" s="10">
        <v>6.58</v>
      </c>
      <c r="G359" s="18">
        <v>6.78</v>
      </c>
      <c r="H359" s="26">
        <v>6.78</v>
      </c>
      <c r="I359" s="24">
        <v>11.97</v>
      </c>
      <c r="J359" s="31">
        <v>10.88</v>
      </c>
    </row>
    <row r="360" spans="1:10" ht="15.75" thickBot="1">
      <c r="A360" s="2">
        <v>12389</v>
      </c>
      <c r="B360" s="8" t="s">
        <v>67</v>
      </c>
      <c r="C360" s="8" t="s">
        <v>308</v>
      </c>
      <c r="D360" s="8" t="s">
        <v>17</v>
      </c>
      <c r="E360" s="9">
        <v>6.04</v>
      </c>
      <c r="F360" s="10">
        <v>0.06</v>
      </c>
      <c r="G360" s="18">
        <v>0.06</v>
      </c>
      <c r="H360" s="26">
        <v>0.06</v>
      </c>
      <c r="I360" s="25">
        <v>0.16</v>
      </c>
      <c r="J360" s="30">
        <v>0.16</v>
      </c>
    </row>
    <row r="361" spans="1:10" ht="15.75" thickBot="1">
      <c r="A361" s="2">
        <v>12390</v>
      </c>
      <c r="B361" s="8" t="s">
        <v>88</v>
      </c>
      <c r="C361" s="8" t="s">
        <v>88</v>
      </c>
      <c r="D361" s="8" t="s">
        <v>46</v>
      </c>
      <c r="E361" s="9">
        <v>14.7</v>
      </c>
      <c r="F361" s="10">
        <v>1.87</v>
      </c>
      <c r="G361" s="18">
        <v>1.87</v>
      </c>
      <c r="H361" s="26">
        <v>1.87</v>
      </c>
      <c r="I361" s="24">
        <v>0</v>
      </c>
      <c r="J361" s="30">
        <v>0</v>
      </c>
    </row>
    <row r="362" spans="1:10" ht="15.75" thickBot="1">
      <c r="A362" s="2">
        <v>12391</v>
      </c>
      <c r="B362" s="8" t="s">
        <v>566</v>
      </c>
      <c r="C362" s="8" t="s">
        <v>579</v>
      </c>
      <c r="D362" s="8" t="s">
        <v>24</v>
      </c>
      <c r="E362" s="9">
        <v>387.41</v>
      </c>
      <c r="F362" s="10">
        <v>250</v>
      </c>
      <c r="G362" s="18">
        <v>240</v>
      </c>
      <c r="H362" s="26">
        <v>240</v>
      </c>
      <c r="I362" s="25">
        <v>240</v>
      </c>
      <c r="J362" s="30">
        <v>318</v>
      </c>
    </row>
    <row r="363" spans="1:10" ht="15.75" thickBot="1">
      <c r="A363" s="2">
        <v>12392</v>
      </c>
      <c r="B363" s="8" t="s">
        <v>588</v>
      </c>
      <c r="C363" s="8" t="s">
        <v>650</v>
      </c>
      <c r="D363" s="8" t="s">
        <v>55</v>
      </c>
      <c r="E363" s="9">
        <v>599.71</v>
      </c>
      <c r="F363" s="10">
        <v>188.48</v>
      </c>
      <c r="G363" s="18">
        <v>182.57</v>
      </c>
      <c r="H363" s="26">
        <v>182.57</v>
      </c>
      <c r="I363" s="24">
        <v>179.62</v>
      </c>
      <c r="J363" s="30">
        <v>170.75</v>
      </c>
    </row>
    <row r="364" spans="1:10">
      <c r="A364" s="2">
        <v>12393</v>
      </c>
      <c r="B364" s="8" t="s">
        <v>608</v>
      </c>
      <c r="C364" s="8" t="s">
        <v>651</v>
      </c>
      <c r="D364" s="8" t="s">
        <v>51</v>
      </c>
      <c r="E364" s="9">
        <v>5.16</v>
      </c>
      <c r="F364" s="10">
        <v>0</v>
      </c>
      <c r="G364" s="18">
        <v>0</v>
      </c>
      <c r="H364" s="26">
        <v>0</v>
      </c>
      <c r="I364" s="25">
        <v>0</v>
      </c>
      <c r="J364" s="31">
        <v>0</v>
      </c>
    </row>
    <row r="365" spans="1:10">
      <c r="A365" s="2">
        <v>12395</v>
      </c>
      <c r="B365" s="8" t="s">
        <v>683</v>
      </c>
      <c r="C365" s="8" t="s">
        <v>683</v>
      </c>
      <c r="D365" s="8" t="s">
        <v>11</v>
      </c>
      <c r="E365" s="9">
        <v>26.12</v>
      </c>
      <c r="F365" s="15">
        <f>1302685/10^6</f>
        <v>1.3026850000000001</v>
      </c>
      <c r="G365" s="18">
        <v>1.31</v>
      </c>
      <c r="H365" s="26">
        <v>1.29</v>
      </c>
      <c r="I365" s="24">
        <v>1.32</v>
      </c>
      <c r="J365" s="31">
        <f>1315742/10^6</f>
        <v>1.315742</v>
      </c>
    </row>
    <row r="366" spans="1:10" ht="15.75" thickBot="1">
      <c r="A366" s="2">
        <v>12396</v>
      </c>
      <c r="B366" s="8" t="s">
        <v>388</v>
      </c>
      <c r="C366" s="8" t="s">
        <v>388</v>
      </c>
      <c r="D366" s="8" t="s">
        <v>29</v>
      </c>
      <c r="E366" s="9">
        <v>11.96</v>
      </c>
      <c r="F366" s="15">
        <f>545665/10^6</f>
        <v>0.54566499999999996</v>
      </c>
      <c r="G366" s="18">
        <v>0.7</v>
      </c>
      <c r="H366" s="26">
        <v>0</v>
      </c>
      <c r="I366" s="24">
        <v>1.35</v>
      </c>
      <c r="J366" s="30">
        <v>1.36</v>
      </c>
    </row>
    <row r="367" spans="1:10" ht="15.75" thickBot="1">
      <c r="A367" s="2">
        <v>12397</v>
      </c>
      <c r="B367" s="8" t="s">
        <v>228</v>
      </c>
      <c r="C367" s="8" t="s">
        <v>309</v>
      </c>
      <c r="D367" s="8" t="s">
        <v>19</v>
      </c>
      <c r="E367" s="9">
        <v>5.87</v>
      </c>
      <c r="F367" s="10">
        <v>0.49</v>
      </c>
      <c r="G367" s="18">
        <v>0.54</v>
      </c>
      <c r="H367" s="26">
        <v>0.45</v>
      </c>
      <c r="I367" s="25">
        <v>1.3</v>
      </c>
      <c r="J367" s="30">
        <v>1.25</v>
      </c>
    </row>
    <row r="368" spans="1:10">
      <c r="A368" s="2">
        <v>12398</v>
      </c>
      <c r="B368" s="8" t="s">
        <v>175</v>
      </c>
      <c r="C368" s="8" t="s">
        <v>325</v>
      </c>
      <c r="D368" s="8" t="s">
        <v>22</v>
      </c>
      <c r="E368" s="9">
        <v>8.1999999999999993</v>
      </c>
      <c r="F368" s="10">
        <v>0.06</v>
      </c>
      <c r="G368" s="18">
        <v>0.06</v>
      </c>
      <c r="H368" s="26">
        <v>0.06</v>
      </c>
      <c r="I368" s="24">
        <v>0.06</v>
      </c>
      <c r="J368" s="31">
        <v>0.06</v>
      </c>
    </row>
    <row r="369" spans="1:10" ht="15.75" thickBot="1">
      <c r="A369" s="2">
        <v>12399</v>
      </c>
      <c r="B369" s="8" t="s">
        <v>354</v>
      </c>
      <c r="C369" s="8" t="s">
        <v>469</v>
      </c>
      <c r="D369" s="8" t="s">
        <v>34</v>
      </c>
      <c r="E369" s="9">
        <v>2.84</v>
      </c>
      <c r="F369" s="15">
        <f>449110/10^6</f>
        <v>0.44911000000000001</v>
      </c>
      <c r="G369" s="18">
        <v>0.47</v>
      </c>
      <c r="H369" s="26">
        <v>0.47</v>
      </c>
      <c r="I369" s="25">
        <v>0.47</v>
      </c>
      <c r="J369" s="31">
        <v>0.39</v>
      </c>
    </row>
    <row r="370" spans="1:10">
      <c r="A370" s="6">
        <v>2217</v>
      </c>
      <c r="B370" s="8" t="s">
        <v>96</v>
      </c>
      <c r="C370" s="8" t="s">
        <v>97</v>
      </c>
      <c r="D370" s="8" t="s">
        <v>95</v>
      </c>
      <c r="E370" s="9">
        <v>7</v>
      </c>
      <c r="F370" s="12">
        <v>0</v>
      </c>
      <c r="G370" s="3">
        <v>0</v>
      </c>
      <c r="H370" s="3">
        <v>0</v>
      </c>
      <c r="I370" s="17">
        <v>0</v>
      </c>
      <c r="J370" s="21">
        <v>0</v>
      </c>
    </row>
    <row r="371" spans="1:10" ht="15.75" thickBot="1">
      <c r="A371" s="4">
        <v>12401</v>
      </c>
      <c r="B371" s="8" t="s">
        <v>768</v>
      </c>
      <c r="C371" s="8" t="s">
        <v>470</v>
      </c>
      <c r="D371" s="8" t="s">
        <v>19</v>
      </c>
      <c r="E371" s="9">
        <v>0.83</v>
      </c>
      <c r="F371" s="11">
        <v>0.03</v>
      </c>
      <c r="G371" s="18">
        <v>1.03</v>
      </c>
      <c r="H371" s="26">
        <v>0.95</v>
      </c>
      <c r="I371" s="24">
        <v>0.03</v>
      </c>
      <c r="J371" s="31">
        <v>0.02</v>
      </c>
    </row>
    <row r="372" spans="1:10" ht="15.75" thickBot="1">
      <c r="A372" s="2">
        <v>12400</v>
      </c>
      <c r="B372" s="8" t="s">
        <v>401</v>
      </c>
      <c r="C372" s="8" t="s">
        <v>470</v>
      </c>
      <c r="D372" s="8" t="s">
        <v>14</v>
      </c>
      <c r="E372" s="9">
        <v>24.42</v>
      </c>
      <c r="F372" s="13">
        <f>1031563/10^6</f>
        <v>1.031563</v>
      </c>
      <c r="G372" s="18">
        <v>0.03</v>
      </c>
      <c r="H372" s="26">
        <v>0.02</v>
      </c>
      <c r="I372" s="24">
        <v>0.7</v>
      </c>
      <c r="J372" s="30">
        <v>0.7</v>
      </c>
    </row>
    <row r="373" spans="1:10" ht="15.75" thickBot="1">
      <c r="A373" s="2">
        <v>12402</v>
      </c>
      <c r="B373" s="8" t="s">
        <v>93</v>
      </c>
      <c r="C373" s="8" t="s">
        <v>652</v>
      </c>
      <c r="D373" s="8" t="s">
        <v>55</v>
      </c>
      <c r="E373" s="9">
        <v>8.5399999999999991</v>
      </c>
      <c r="F373" s="10">
        <v>0</v>
      </c>
      <c r="G373" s="18">
        <v>0.22</v>
      </c>
      <c r="H373" s="26">
        <v>0.22</v>
      </c>
      <c r="I373" s="25">
        <v>0.38</v>
      </c>
      <c r="J373" s="30">
        <v>0.23</v>
      </c>
    </row>
    <row r="374" spans="1:10" ht="15.75" thickBot="1">
      <c r="A374" s="2">
        <v>12403</v>
      </c>
      <c r="B374" s="8" t="s">
        <v>175</v>
      </c>
      <c r="C374" s="8" t="s">
        <v>326</v>
      </c>
      <c r="D374" s="8" t="s">
        <v>22</v>
      </c>
      <c r="E374" s="9">
        <v>24.34</v>
      </c>
      <c r="F374" s="10">
        <v>1.59</v>
      </c>
      <c r="G374" s="18">
        <v>2.4</v>
      </c>
      <c r="H374" s="26">
        <v>2.14</v>
      </c>
      <c r="I374" s="24">
        <v>2.0299999999999998</v>
      </c>
      <c r="J374" s="30">
        <v>1.95</v>
      </c>
    </row>
    <row r="375" spans="1:10" ht="15.75" thickBot="1">
      <c r="A375" s="2">
        <v>12404</v>
      </c>
      <c r="B375" s="8" t="s">
        <v>238</v>
      </c>
      <c r="C375" s="8" t="s">
        <v>333</v>
      </c>
      <c r="D375" s="8" t="s">
        <v>23</v>
      </c>
      <c r="E375" s="9">
        <v>24</v>
      </c>
      <c r="F375" s="10">
        <v>0.06</v>
      </c>
      <c r="G375" s="18">
        <v>0.06</v>
      </c>
      <c r="H375" s="26">
        <v>0.06</v>
      </c>
      <c r="I375" s="25">
        <v>0.06</v>
      </c>
      <c r="J375" s="30">
        <v>0.06</v>
      </c>
    </row>
    <row r="376" spans="1:10">
      <c r="A376" s="2">
        <v>12405</v>
      </c>
      <c r="B376" s="8" t="s">
        <v>193</v>
      </c>
      <c r="C376" s="8" t="s">
        <v>310</v>
      </c>
      <c r="D376" s="8" t="s">
        <v>17</v>
      </c>
      <c r="E376" s="9">
        <v>3.2</v>
      </c>
      <c r="F376" s="10">
        <v>0</v>
      </c>
      <c r="G376" s="18">
        <v>2.4500000000000002</v>
      </c>
      <c r="H376" s="26">
        <v>2.38</v>
      </c>
      <c r="I376" s="25">
        <f>2278753/10^6</f>
        <v>2.278753</v>
      </c>
      <c r="J376" s="30">
        <f>2235182/10^6</f>
        <v>2.235182</v>
      </c>
    </row>
    <row r="377" spans="1:10" ht="15.75" thickBot="1">
      <c r="A377" s="2">
        <v>12406</v>
      </c>
      <c r="B377" s="8" t="s">
        <v>392</v>
      </c>
      <c r="C377" s="8" t="s">
        <v>310</v>
      </c>
      <c r="D377" s="8" t="s">
        <v>14</v>
      </c>
      <c r="E377" s="9">
        <v>7.76</v>
      </c>
      <c r="F377" s="15">
        <f>2397583/10^6</f>
        <v>2.397583</v>
      </c>
      <c r="G377" s="18">
        <v>0</v>
      </c>
      <c r="H377" s="26">
        <v>0</v>
      </c>
      <c r="I377" s="25">
        <v>0</v>
      </c>
      <c r="J377" s="30">
        <v>0</v>
      </c>
    </row>
    <row r="378" spans="1:10">
      <c r="A378" s="2">
        <v>12407</v>
      </c>
      <c r="B378" s="8" t="s">
        <v>223</v>
      </c>
      <c r="C378" s="8" t="s">
        <v>334</v>
      </c>
      <c r="D378" s="8" t="s">
        <v>16</v>
      </c>
      <c r="E378" s="9">
        <v>2.25</v>
      </c>
      <c r="F378" s="10">
        <v>0.08</v>
      </c>
      <c r="G378" s="18">
        <v>0.06</v>
      </c>
      <c r="H378" s="26">
        <v>7.0000000000000007E-2</v>
      </c>
      <c r="I378" s="24">
        <v>7.0000000000000007E-2</v>
      </c>
      <c r="J378" s="31">
        <v>0.08</v>
      </c>
    </row>
    <row r="379" spans="1:10">
      <c r="A379" s="2">
        <v>12408</v>
      </c>
      <c r="B379" s="8" t="s">
        <v>409</v>
      </c>
      <c r="C379" s="8" t="s">
        <v>471</v>
      </c>
      <c r="D379" s="8" t="s">
        <v>31</v>
      </c>
      <c r="E379" s="9">
        <v>4.92</v>
      </c>
      <c r="F379" s="15">
        <f>56239/10^6</f>
        <v>5.6238999999999997E-2</v>
      </c>
      <c r="G379" s="18">
        <v>0.06</v>
      </c>
      <c r="H379" s="26">
        <v>0.04</v>
      </c>
      <c r="I379" s="25">
        <f>426505/10^6</f>
        <v>0.42650500000000002</v>
      </c>
      <c r="J379" s="30">
        <v>0.55000000000000004</v>
      </c>
    </row>
    <row r="380" spans="1:10" ht="15.75" thickBot="1">
      <c r="A380" s="2">
        <v>12409</v>
      </c>
      <c r="B380" s="8" t="s">
        <v>405</v>
      </c>
      <c r="C380" s="8" t="s">
        <v>472</v>
      </c>
      <c r="D380" s="8" t="s">
        <v>33</v>
      </c>
      <c r="E380" s="9">
        <v>44.6</v>
      </c>
      <c r="F380" s="15">
        <f>1268480/10^6</f>
        <v>1.2684800000000001</v>
      </c>
      <c r="G380" s="18">
        <v>1.27</v>
      </c>
      <c r="H380" s="26">
        <v>1.21</v>
      </c>
      <c r="I380" s="25">
        <f>18291840/10^6</f>
        <v>18.291840000000001</v>
      </c>
      <c r="J380" s="31">
        <f>22802200/10^6</f>
        <v>22.802199999999999</v>
      </c>
    </row>
    <row r="381" spans="1:10" ht="15.75" thickBot="1">
      <c r="A381" s="2">
        <v>12410</v>
      </c>
      <c r="B381" s="8" t="s">
        <v>116</v>
      </c>
      <c r="C381" s="8" t="s">
        <v>116</v>
      </c>
      <c r="D381" s="8" t="s">
        <v>5</v>
      </c>
      <c r="E381" s="9">
        <v>1.53</v>
      </c>
      <c r="F381" s="10">
        <v>0.92</v>
      </c>
      <c r="G381" s="18">
        <v>0.92</v>
      </c>
      <c r="H381" s="26">
        <v>0.92</v>
      </c>
      <c r="I381" s="24">
        <v>0.92</v>
      </c>
      <c r="J381" s="31">
        <v>0.92</v>
      </c>
    </row>
    <row r="382" spans="1:10" ht="15.75" thickBot="1">
      <c r="A382" s="2">
        <v>12411</v>
      </c>
      <c r="B382" s="8" t="s">
        <v>157</v>
      </c>
      <c r="C382" s="8" t="s">
        <v>157</v>
      </c>
      <c r="D382" s="8" t="s">
        <v>778</v>
      </c>
      <c r="E382" s="9">
        <v>357</v>
      </c>
      <c r="F382" s="10">
        <v>12.4</v>
      </c>
      <c r="G382" s="18">
        <v>64.3</v>
      </c>
      <c r="H382" s="26">
        <v>68.040000000000006</v>
      </c>
      <c r="I382" s="24">
        <v>66.94</v>
      </c>
      <c r="J382" s="30">
        <v>63.2</v>
      </c>
    </row>
    <row r="383" spans="1:10">
      <c r="A383" s="2">
        <v>12412</v>
      </c>
      <c r="B383" s="8" t="s">
        <v>221</v>
      </c>
      <c r="C383" s="8" t="s">
        <v>341</v>
      </c>
      <c r="D383" s="8" t="s">
        <v>18</v>
      </c>
      <c r="E383" s="9">
        <v>7.67</v>
      </c>
      <c r="F383" s="10">
        <v>0.12</v>
      </c>
      <c r="G383" s="18">
        <v>0.47</v>
      </c>
      <c r="H383" s="26">
        <v>0.39</v>
      </c>
      <c r="I383" s="24">
        <f>363166/10^6</f>
        <v>0.36316599999999999</v>
      </c>
      <c r="J383" s="31">
        <v>0.39</v>
      </c>
    </row>
    <row r="384" spans="1:10">
      <c r="A384" s="2">
        <v>12413</v>
      </c>
      <c r="B384" s="8" t="s">
        <v>397</v>
      </c>
      <c r="C384" s="8" t="s">
        <v>341</v>
      </c>
      <c r="D384" s="8" t="s">
        <v>33</v>
      </c>
      <c r="E384" s="9">
        <v>3.05</v>
      </c>
      <c r="F384" s="15">
        <f>445218/10^6</f>
        <v>0.445218</v>
      </c>
      <c r="G384" s="18">
        <v>0.12</v>
      </c>
      <c r="H384" s="26">
        <v>0.12</v>
      </c>
      <c r="I384" s="25">
        <v>0.12</v>
      </c>
      <c r="J384" s="31">
        <v>0.12</v>
      </c>
    </row>
    <row r="385" spans="1:10" ht="15.75" thickBot="1">
      <c r="A385" s="2">
        <v>12415</v>
      </c>
      <c r="B385" s="8" t="s">
        <v>236</v>
      </c>
      <c r="C385" s="8" t="s">
        <v>311</v>
      </c>
      <c r="D385" s="8" t="s">
        <v>18</v>
      </c>
      <c r="E385" s="9">
        <v>29.14</v>
      </c>
      <c r="F385" s="11">
        <v>0.26</v>
      </c>
      <c r="G385" s="18">
        <v>0.24</v>
      </c>
      <c r="H385" s="26">
        <v>0.24</v>
      </c>
      <c r="I385" s="24">
        <f>1311540/10^6</f>
        <v>1.3115399999999999</v>
      </c>
      <c r="J385" s="31">
        <v>0.48</v>
      </c>
    </row>
    <row r="386" spans="1:10" ht="15.75" thickBot="1">
      <c r="A386" s="2">
        <v>12414</v>
      </c>
      <c r="B386" s="8" t="s">
        <v>379</v>
      </c>
      <c r="C386" s="8" t="s">
        <v>311</v>
      </c>
      <c r="D386" s="8" t="s">
        <v>14</v>
      </c>
      <c r="E386" s="9">
        <v>1.31</v>
      </c>
      <c r="F386" s="13">
        <f>0/10^6</f>
        <v>0</v>
      </c>
      <c r="G386" s="18">
        <v>0</v>
      </c>
      <c r="H386" s="26">
        <v>0.19</v>
      </c>
      <c r="I386" s="25">
        <v>3.12</v>
      </c>
      <c r="J386" s="30">
        <v>2.85</v>
      </c>
    </row>
    <row r="387" spans="1:10">
      <c r="A387" s="2">
        <v>12416</v>
      </c>
      <c r="B387" s="8" t="s">
        <v>504</v>
      </c>
      <c r="C387" s="8" t="s">
        <v>311</v>
      </c>
      <c r="D387" s="8" t="s">
        <v>38</v>
      </c>
      <c r="E387" s="9">
        <v>7.15</v>
      </c>
      <c r="F387" s="10">
        <v>0</v>
      </c>
      <c r="G387" s="18">
        <v>0</v>
      </c>
      <c r="H387" s="26">
        <v>0</v>
      </c>
      <c r="I387" s="25">
        <v>0.51</v>
      </c>
      <c r="J387" s="30">
        <v>1.27</v>
      </c>
    </row>
    <row r="388" spans="1:10" ht="15.75" thickBot="1">
      <c r="A388" s="2">
        <v>12418</v>
      </c>
      <c r="B388" s="8" t="s">
        <v>232</v>
      </c>
      <c r="C388" s="8" t="s">
        <v>312</v>
      </c>
      <c r="D388" s="8" t="s">
        <v>10</v>
      </c>
      <c r="E388" s="9">
        <v>7.96</v>
      </c>
      <c r="F388" s="11">
        <v>0</v>
      </c>
      <c r="G388" s="18">
        <v>0.12</v>
      </c>
      <c r="H388" s="26">
        <v>0.19</v>
      </c>
      <c r="I388" s="25">
        <v>0.19</v>
      </c>
      <c r="J388" s="31">
        <v>1.1399999999999999</v>
      </c>
    </row>
    <row r="389" spans="1:10">
      <c r="A389" s="2">
        <v>12417</v>
      </c>
      <c r="B389" s="8" t="s">
        <v>398</v>
      </c>
      <c r="C389" s="8" t="s">
        <v>312</v>
      </c>
      <c r="D389" s="8" t="s">
        <v>20</v>
      </c>
      <c r="E389" s="9">
        <v>0.96</v>
      </c>
      <c r="F389" s="13">
        <f>37608/10^6</f>
        <v>3.7608000000000003E-2</v>
      </c>
      <c r="G389" s="18">
        <v>1.1200000000000001</v>
      </c>
      <c r="H389" s="26">
        <v>1.03</v>
      </c>
      <c r="I389" s="24">
        <v>1.1299999999999999</v>
      </c>
      <c r="J389" s="31">
        <v>0.15</v>
      </c>
    </row>
    <row r="390" spans="1:10">
      <c r="A390" s="2">
        <v>12419</v>
      </c>
      <c r="B390" s="8" t="s">
        <v>689</v>
      </c>
      <c r="C390" s="8" t="s">
        <v>725</v>
      </c>
      <c r="D390" s="8" t="s">
        <v>29</v>
      </c>
      <c r="E390" s="9">
        <v>0.55000000000000004</v>
      </c>
      <c r="F390" s="15">
        <f>0/10^6</f>
        <v>0</v>
      </c>
      <c r="G390" s="18">
        <v>0</v>
      </c>
      <c r="H390" s="26">
        <v>0</v>
      </c>
      <c r="I390" s="24">
        <v>0</v>
      </c>
      <c r="J390" s="31">
        <v>0</v>
      </c>
    </row>
    <row r="391" spans="1:10" ht="15.75" thickBot="1">
      <c r="A391" s="2">
        <v>12420</v>
      </c>
      <c r="B391" s="8" t="s">
        <v>400</v>
      </c>
      <c r="C391" s="8" t="s">
        <v>400</v>
      </c>
      <c r="D391" s="8" t="s">
        <v>29</v>
      </c>
      <c r="E391" s="9">
        <v>15.79</v>
      </c>
      <c r="F391" s="15">
        <f>83526/10^6</f>
        <v>8.3526000000000003E-2</v>
      </c>
      <c r="G391" s="18">
        <v>0.08</v>
      </c>
      <c r="H391" s="26">
        <v>0.03</v>
      </c>
      <c r="I391" s="25">
        <f>8415/10^6</f>
        <v>8.4150000000000006E-3</v>
      </c>
      <c r="J391" s="30">
        <v>0.01</v>
      </c>
    </row>
    <row r="392" spans="1:10">
      <c r="A392" s="2">
        <v>12421</v>
      </c>
      <c r="B392" s="8" t="s">
        <v>67</v>
      </c>
      <c r="C392" s="8" t="s">
        <v>327</v>
      </c>
      <c r="D392" s="8" t="s">
        <v>17</v>
      </c>
      <c r="E392" s="9">
        <v>10.33</v>
      </c>
      <c r="F392" s="10">
        <v>0.05</v>
      </c>
      <c r="G392" s="18">
        <v>0.05</v>
      </c>
      <c r="H392" s="26">
        <v>0.05</v>
      </c>
      <c r="I392" s="25">
        <v>0.05</v>
      </c>
      <c r="J392" s="30">
        <v>0.05</v>
      </c>
    </row>
    <row r="393" spans="1:10" ht="15.75" thickBot="1">
      <c r="A393" s="2">
        <v>12422</v>
      </c>
      <c r="B393" s="8" t="s">
        <v>384</v>
      </c>
      <c r="C393" s="8" t="s">
        <v>473</v>
      </c>
      <c r="D393" s="8" t="s">
        <v>14</v>
      </c>
      <c r="E393" s="9">
        <v>8.4600000000000009</v>
      </c>
      <c r="F393" s="15">
        <f>33000/10^6</f>
        <v>3.3000000000000002E-2</v>
      </c>
      <c r="G393" s="18">
        <v>0.03</v>
      </c>
      <c r="H393" s="26">
        <v>0.03</v>
      </c>
      <c r="I393" s="24">
        <f>33000/10^6</f>
        <v>3.3000000000000002E-2</v>
      </c>
      <c r="J393" s="30">
        <f>33000/10^6</f>
        <v>3.3000000000000002E-2</v>
      </c>
    </row>
    <row r="394" spans="1:10">
      <c r="A394" s="2">
        <v>12423</v>
      </c>
      <c r="B394" s="8" t="s">
        <v>233</v>
      </c>
      <c r="C394" s="8" t="s">
        <v>313</v>
      </c>
      <c r="D394" s="8" t="s">
        <v>22</v>
      </c>
      <c r="E394" s="9">
        <v>19.25</v>
      </c>
      <c r="F394" s="10">
        <v>2.38</v>
      </c>
      <c r="G394" s="18">
        <v>4.22</v>
      </c>
      <c r="H394" s="26">
        <v>4.1100000000000003</v>
      </c>
      <c r="I394" s="25">
        <v>4.0599999999999996</v>
      </c>
      <c r="J394" s="31">
        <v>4.09</v>
      </c>
    </row>
    <row r="395" spans="1:10" ht="15.75" thickBot="1">
      <c r="A395" s="2">
        <v>12425</v>
      </c>
      <c r="B395" s="8" t="s">
        <v>706</v>
      </c>
      <c r="C395" s="8" t="s">
        <v>748</v>
      </c>
      <c r="D395" s="8" t="s">
        <v>9</v>
      </c>
      <c r="E395" s="9">
        <v>0.45</v>
      </c>
      <c r="F395" s="15">
        <f>260472/10^6</f>
        <v>0.26047199999999998</v>
      </c>
      <c r="G395" s="18">
        <v>0.25</v>
      </c>
      <c r="H395" s="26">
        <v>0.26</v>
      </c>
      <c r="I395" s="24">
        <v>0.26</v>
      </c>
      <c r="J395" s="31">
        <v>0.24</v>
      </c>
    </row>
    <row r="396" spans="1:10" ht="15.75" thickBot="1">
      <c r="A396" s="2">
        <v>12426</v>
      </c>
      <c r="B396" s="8" t="s">
        <v>239</v>
      </c>
      <c r="C396" s="8" t="s">
        <v>328</v>
      </c>
      <c r="D396" s="8" t="s">
        <v>21</v>
      </c>
      <c r="E396" s="9">
        <v>9.84</v>
      </c>
      <c r="F396" s="10">
        <v>3.98</v>
      </c>
      <c r="G396" s="18">
        <v>4.9000000000000004</v>
      </c>
      <c r="H396" s="26">
        <v>4.8899999999999997</v>
      </c>
      <c r="I396" s="25">
        <v>5.13</v>
      </c>
      <c r="J396" s="31">
        <v>5.38</v>
      </c>
    </row>
    <row r="397" spans="1:10">
      <c r="A397" s="2">
        <v>12427</v>
      </c>
      <c r="B397" s="8" t="s">
        <v>234</v>
      </c>
      <c r="C397" s="8" t="s">
        <v>338</v>
      </c>
      <c r="D397" s="8" t="s">
        <v>18</v>
      </c>
      <c r="E397" s="9">
        <v>43</v>
      </c>
      <c r="F397" s="10">
        <v>0.09</v>
      </c>
      <c r="G397" s="18">
        <v>0.06</v>
      </c>
      <c r="H397" s="26">
        <v>0.04</v>
      </c>
      <c r="I397" s="25">
        <v>0.02</v>
      </c>
      <c r="J397" s="31">
        <v>0.01</v>
      </c>
    </row>
    <row r="398" spans="1:10">
      <c r="A398" s="2">
        <v>12428</v>
      </c>
      <c r="B398" s="8" t="s">
        <v>403</v>
      </c>
      <c r="C398" s="8" t="s">
        <v>474</v>
      </c>
      <c r="D398" s="8" t="s">
        <v>20</v>
      </c>
      <c r="E398" s="9">
        <v>2.12</v>
      </c>
      <c r="F398" s="15">
        <f>625/10^6</f>
        <v>6.2500000000000001E-4</v>
      </c>
      <c r="G398" s="18">
        <v>0</v>
      </c>
      <c r="H398" s="26">
        <v>0</v>
      </c>
      <c r="I398" s="25">
        <v>0</v>
      </c>
      <c r="J398" s="30">
        <v>0</v>
      </c>
    </row>
    <row r="399" spans="1:10">
      <c r="A399" s="2">
        <v>12429</v>
      </c>
      <c r="B399" s="8" t="s">
        <v>403</v>
      </c>
      <c r="C399" s="8" t="s">
        <v>475</v>
      </c>
      <c r="D399" s="8" t="s">
        <v>20</v>
      </c>
      <c r="E399" s="9">
        <v>14.04</v>
      </c>
      <c r="F399" s="15">
        <f>535350/10^6</f>
        <v>0.53534999999999999</v>
      </c>
      <c r="G399" s="18">
        <v>0.54</v>
      </c>
      <c r="H399" s="26">
        <v>0.54</v>
      </c>
      <c r="I399" s="24">
        <v>0.41</v>
      </c>
      <c r="J399" s="31">
        <v>0.26</v>
      </c>
    </row>
    <row r="400" spans="1:10" ht="15.75" thickBot="1">
      <c r="A400" s="2">
        <v>12430</v>
      </c>
      <c r="B400" s="8" t="s">
        <v>361</v>
      </c>
      <c r="C400" s="8" t="s">
        <v>476</v>
      </c>
      <c r="D400" s="8" t="s">
        <v>11</v>
      </c>
      <c r="E400" s="9">
        <v>11.8</v>
      </c>
      <c r="F400" s="15">
        <f>1023944/10^6</f>
        <v>1.023944</v>
      </c>
      <c r="G400" s="18">
        <v>0.79</v>
      </c>
      <c r="H400" s="26">
        <v>0.67</v>
      </c>
      <c r="I400" s="24">
        <v>0.84</v>
      </c>
      <c r="J400" s="30">
        <v>0.55000000000000004</v>
      </c>
    </row>
    <row r="401" spans="1:10" ht="15.75" thickBot="1">
      <c r="A401" s="2">
        <v>12431</v>
      </c>
      <c r="B401" s="8" t="s">
        <v>85</v>
      </c>
      <c r="C401" s="8" t="s">
        <v>552</v>
      </c>
      <c r="D401" s="8" t="s">
        <v>38</v>
      </c>
      <c r="E401" s="9">
        <v>311.08</v>
      </c>
      <c r="F401" s="10">
        <v>30.56</v>
      </c>
      <c r="G401" s="18">
        <v>30.56</v>
      </c>
      <c r="H401" s="26">
        <v>30.56</v>
      </c>
      <c r="I401" s="25">
        <v>30.56</v>
      </c>
      <c r="J401" s="30">
        <v>32.64</v>
      </c>
    </row>
    <row r="402" spans="1:10" ht="15.75" thickBot="1">
      <c r="A402" s="2">
        <v>12432</v>
      </c>
      <c r="B402" s="8" t="s">
        <v>490</v>
      </c>
      <c r="C402" s="8" t="s">
        <v>553</v>
      </c>
      <c r="D402" s="8" t="s">
        <v>38</v>
      </c>
      <c r="E402" s="9">
        <v>1.26</v>
      </c>
      <c r="F402" s="10">
        <v>0</v>
      </c>
      <c r="G402" s="18">
        <v>0</v>
      </c>
      <c r="H402" s="26">
        <v>0</v>
      </c>
      <c r="I402" s="24">
        <v>0.22</v>
      </c>
      <c r="J402" s="31">
        <v>0.22</v>
      </c>
    </row>
    <row r="403" spans="1:10" ht="15.75" thickBot="1">
      <c r="A403" s="2">
        <v>12434</v>
      </c>
      <c r="B403" s="8" t="s">
        <v>158</v>
      </c>
      <c r="C403" s="8" t="s">
        <v>162</v>
      </c>
      <c r="D403" s="8" t="s">
        <v>777</v>
      </c>
      <c r="E403" s="9">
        <v>10.8</v>
      </c>
      <c r="F403" s="10">
        <v>0</v>
      </c>
      <c r="G403" s="18">
        <v>0</v>
      </c>
      <c r="H403" s="26">
        <v>0</v>
      </c>
      <c r="I403" s="24">
        <v>0</v>
      </c>
      <c r="J403" s="31">
        <v>0</v>
      </c>
    </row>
    <row r="404" spans="1:10">
      <c r="A404" s="2">
        <v>12435</v>
      </c>
      <c r="B404" s="8" t="s">
        <v>379</v>
      </c>
      <c r="C404" s="8" t="s">
        <v>162</v>
      </c>
      <c r="D404" s="8" t="s">
        <v>14</v>
      </c>
      <c r="E404" s="9">
        <v>5.71</v>
      </c>
      <c r="F404" s="13">
        <f>0/10^6</f>
        <v>0</v>
      </c>
      <c r="G404" s="23">
        <v>0</v>
      </c>
      <c r="H404" s="26">
        <v>0</v>
      </c>
      <c r="I404" s="25">
        <v>0</v>
      </c>
      <c r="J404" s="30">
        <v>0</v>
      </c>
    </row>
    <row r="405" spans="1:10" ht="15.75" thickBot="1">
      <c r="A405" s="2">
        <v>12433</v>
      </c>
      <c r="B405" s="8" t="s">
        <v>503</v>
      </c>
      <c r="C405" s="8" t="s">
        <v>162</v>
      </c>
      <c r="D405" s="8" t="s">
        <v>38</v>
      </c>
      <c r="E405" s="9">
        <v>1.62</v>
      </c>
      <c r="F405" s="11">
        <v>0</v>
      </c>
      <c r="G405" s="18">
        <v>0</v>
      </c>
      <c r="H405" s="26">
        <v>0</v>
      </c>
      <c r="I405" s="24">
        <v>0</v>
      </c>
      <c r="J405" s="31">
        <v>0</v>
      </c>
    </row>
    <row r="406" spans="1:10">
      <c r="A406" s="2">
        <v>12436</v>
      </c>
      <c r="B406" s="8" t="s">
        <v>108</v>
      </c>
      <c r="C406" s="8" t="s">
        <v>117</v>
      </c>
      <c r="D406" s="8" t="s">
        <v>5</v>
      </c>
      <c r="E406" s="9">
        <v>1.73</v>
      </c>
      <c r="F406" s="10">
        <v>0.52</v>
      </c>
      <c r="G406" s="18">
        <v>0.52</v>
      </c>
      <c r="H406" s="26">
        <v>0.52</v>
      </c>
      <c r="I406" s="25">
        <v>0.52</v>
      </c>
      <c r="J406" s="31">
        <v>0.52</v>
      </c>
    </row>
    <row r="407" spans="1:10" ht="15.75" thickBot="1">
      <c r="A407" s="2">
        <v>12438</v>
      </c>
      <c r="B407" s="8" t="s">
        <v>378</v>
      </c>
      <c r="C407" s="8" t="s">
        <v>477</v>
      </c>
      <c r="D407" s="8" t="s">
        <v>9</v>
      </c>
      <c r="E407" s="9">
        <v>3.02</v>
      </c>
      <c r="F407" s="15">
        <f>1511175/10^6</f>
        <v>1.5111749999999999</v>
      </c>
      <c r="G407" s="18">
        <v>1.55</v>
      </c>
      <c r="H407" s="26">
        <v>1.46</v>
      </c>
      <c r="I407" s="25">
        <v>1.46</v>
      </c>
      <c r="J407" s="31">
        <v>1.37</v>
      </c>
    </row>
    <row r="408" spans="1:10" ht="15.75" thickBot="1">
      <c r="A408" s="2">
        <v>12440</v>
      </c>
      <c r="B408" s="8" t="s">
        <v>98</v>
      </c>
      <c r="C408" s="8" t="s">
        <v>314</v>
      </c>
      <c r="D408" s="8" t="s">
        <v>13</v>
      </c>
      <c r="E408" s="9">
        <v>126</v>
      </c>
      <c r="F408" s="10">
        <v>1.1399999999999999</v>
      </c>
      <c r="G408" s="18">
        <v>1.04</v>
      </c>
      <c r="H408" s="26">
        <v>0.9</v>
      </c>
      <c r="I408" s="25">
        <v>1.1100000000000001</v>
      </c>
      <c r="J408" s="30">
        <v>1.81</v>
      </c>
    </row>
    <row r="409" spans="1:10" ht="15.75" thickBot="1">
      <c r="A409" s="2">
        <v>12441</v>
      </c>
      <c r="B409" s="8" t="s">
        <v>175</v>
      </c>
      <c r="C409" s="8" t="s">
        <v>175</v>
      </c>
      <c r="D409" s="8" t="s">
        <v>21</v>
      </c>
      <c r="E409" s="9">
        <v>4.68</v>
      </c>
      <c r="F409" s="10">
        <v>1.05</v>
      </c>
      <c r="G409" s="18">
        <v>1.1299999999999999</v>
      </c>
      <c r="H409" s="26">
        <v>1.1299999999999999</v>
      </c>
      <c r="I409" s="25">
        <v>1.26</v>
      </c>
      <c r="J409" s="30">
        <v>1.31</v>
      </c>
    </row>
    <row r="410" spans="1:10">
      <c r="A410" s="2">
        <v>12442</v>
      </c>
      <c r="B410" s="8" t="s">
        <v>154</v>
      </c>
      <c r="C410" s="8" t="s">
        <v>726</v>
      </c>
      <c r="D410" s="8" t="s">
        <v>777</v>
      </c>
      <c r="E410" s="9">
        <v>14.46</v>
      </c>
      <c r="F410" s="10">
        <v>4.6399999999999997</v>
      </c>
      <c r="G410" s="23">
        <v>4.6399999999999997</v>
      </c>
      <c r="H410" s="26">
        <v>4.6399999999999997</v>
      </c>
      <c r="I410" s="25">
        <v>4.6399999999999997</v>
      </c>
      <c r="J410" s="30">
        <v>4.6399999999999997</v>
      </c>
    </row>
    <row r="411" spans="1:10" ht="15.75" thickBot="1">
      <c r="A411" s="2">
        <v>12443</v>
      </c>
      <c r="B411" s="8" t="s">
        <v>404</v>
      </c>
      <c r="C411" s="8" t="s">
        <v>404</v>
      </c>
      <c r="D411" s="8" t="s">
        <v>20</v>
      </c>
      <c r="E411" s="9">
        <v>27.06</v>
      </c>
      <c r="F411" s="15">
        <f>396995/10^6</f>
        <v>0.39699499999999999</v>
      </c>
      <c r="G411" s="18">
        <v>0.4</v>
      </c>
      <c r="H411" s="26">
        <v>0.4</v>
      </c>
      <c r="I411" s="24">
        <v>0.25</v>
      </c>
      <c r="J411" s="31">
        <v>0.52</v>
      </c>
    </row>
    <row r="412" spans="1:10" ht="15.75" thickBot="1">
      <c r="A412" s="2">
        <v>12444</v>
      </c>
      <c r="B412" s="8" t="s">
        <v>607</v>
      </c>
      <c r="C412" s="8" t="s">
        <v>653</v>
      </c>
      <c r="D412" s="8" t="s">
        <v>55</v>
      </c>
      <c r="E412" s="9">
        <v>2.33</v>
      </c>
      <c r="F412" s="10">
        <v>0</v>
      </c>
      <c r="G412" s="18">
        <v>0</v>
      </c>
      <c r="H412" s="26">
        <v>0</v>
      </c>
      <c r="I412" s="25">
        <v>0</v>
      </c>
      <c r="J412" s="30">
        <v>0</v>
      </c>
    </row>
    <row r="413" spans="1:10" ht="15.75" thickBot="1">
      <c r="A413" s="2">
        <v>12445</v>
      </c>
      <c r="B413" s="8" t="s">
        <v>67</v>
      </c>
      <c r="C413" s="8" t="s">
        <v>315</v>
      </c>
      <c r="D413" s="8" t="s">
        <v>17</v>
      </c>
      <c r="E413" s="9">
        <v>30.84</v>
      </c>
      <c r="F413" s="10">
        <v>0.02</v>
      </c>
      <c r="G413" s="18">
        <v>0.24</v>
      </c>
      <c r="H413" s="26">
        <v>0.21</v>
      </c>
      <c r="I413" s="24">
        <v>0.14000000000000001</v>
      </c>
      <c r="J413" s="31">
        <v>0.11</v>
      </c>
    </row>
    <row r="414" spans="1:10">
      <c r="A414" s="2">
        <v>12446</v>
      </c>
      <c r="B414" s="8" t="s">
        <v>185</v>
      </c>
      <c r="C414" s="8" t="s">
        <v>316</v>
      </c>
      <c r="D414" s="8" t="s">
        <v>10</v>
      </c>
      <c r="E414" s="9">
        <v>10</v>
      </c>
      <c r="F414" s="10">
        <v>0.43</v>
      </c>
      <c r="G414" s="18">
        <v>0.54</v>
      </c>
      <c r="H414" s="26">
        <v>0.42</v>
      </c>
      <c r="I414" s="25">
        <v>0.51</v>
      </c>
      <c r="J414" s="31">
        <v>1.08</v>
      </c>
    </row>
    <row r="415" spans="1:10" ht="15.75" thickBot="1">
      <c r="A415" s="2">
        <v>12447</v>
      </c>
      <c r="B415" s="8" t="s">
        <v>406</v>
      </c>
      <c r="C415" s="8" t="s">
        <v>406</v>
      </c>
      <c r="D415" s="8" t="s">
        <v>14</v>
      </c>
      <c r="E415" s="9">
        <v>44.86</v>
      </c>
      <c r="F415" s="15">
        <f>4007558/10^6</f>
        <v>4.0075580000000004</v>
      </c>
      <c r="G415" s="18">
        <v>6.65</v>
      </c>
      <c r="H415" s="26">
        <v>6.2</v>
      </c>
      <c r="I415" s="25">
        <v>5.49</v>
      </c>
      <c r="J415" s="31">
        <v>5.31</v>
      </c>
    </row>
    <row r="416" spans="1:10">
      <c r="A416" s="2">
        <v>12495</v>
      </c>
      <c r="B416" s="8" t="s">
        <v>488</v>
      </c>
      <c r="C416" s="8" t="s">
        <v>554</v>
      </c>
      <c r="D416" s="8" t="s">
        <v>41</v>
      </c>
      <c r="E416" s="9">
        <v>1.17</v>
      </c>
      <c r="F416" s="10">
        <v>0.99</v>
      </c>
      <c r="G416" s="18">
        <v>0.99</v>
      </c>
      <c r="H416" s="26">
        <v>0.99</v>
      </c>
      <c r="I416" s="24">
        <v>0.97</v>
      </c>
      <c r="J416" s="31">
        <v>0.97</v>
      </c>
    </row>
    <row r="417" spans="1:10">
      <c r="A417" s="2">
        <v>12450</v>
      </c>
      <c r="B417" s="8" t="s">
        <v>351</v>
      </c>
      <c r="C417" s="8" t="s">
        <v>478</v>
      </c>
      <c r="D417" s="8" t="s">
        <v>34</v>
      </c>
      <c r="E417" s="9">
        <v>26.42</v>
      </c>
      <c r="F417" s="15">
        <f>534714/10^6</f>
        <v>0.53471400000000002</v>
      </c>
      <c r="G417" s="18">
        <v>0.56000000000000005</v>
      </c>
      <c r="H417" s="26">
        <v>0.56000000000000005</v>
      </c>
      <c r="I417" s="24">
        <v>0.01</v>
      </c>
      <c r="J417" s="31">
        <v>0.01</v>
      </c>
    </row>
    <row r="418" spans="1:10" ht="15.75" thickBot="1">
      <c r="A418" s="2">
        <v>12451</v>
      </c>
      <c r="B418" s="8" t="s">
        <v>407</v>
      </c>
      <c r="C418" s="8" t="s">
        <v>479</v>
      </c>
      <c r="D418" s="8" t="s">
        <v>20</v>
      </c>
      <c r="E418" s="9">
        <v>15.15</v>
      </c>
      <c r="F418" s="15">
        <f>86/10^6</f>
        <v>8.6000000000000003E-5</v>
      </c>
      <c r="G418" s="18">
        <v>0.01</v>
      </c>
      <c r="H418" s="26">
        <f>86/10^6</f>
        <v>8.6000000000000003E-5</v>
      </c>
      <c r="I418" s="25">
        <v>0.02</v>
      </c>
      <c r="J418" s="30">
        <v>0.02</v>
      </c>
    </row>
    <row r="419" spans="1:10" ht="15.75" thickBot="1">
      <c r="A419" s="4">
        <v>12453</v>
      </c>
      <c r="B419" s="8" t="s">
        <v>769</v>
      </c>
      <c r="C419" s="8" t="s">
        <v>555</v>
      </c>
      <c r="D419" s="8" t="s">
        <v>21</v>
      </c>
      <c r="E419" s="9">
        <v>320.77999999999997</v>
      </c>
      <c r="F419" s="10">
        <v>29.26</v>
      </c>
      <c r="G419" s="18">
        <v>37.78</v>
      </c>
      <c r="H419" s="26">
        <v>37.78</v>
      </c>
      <c r="I419" s="24">
        <v>47.7</v>
      </c>
      <c r="J419" s="31">
        <v>52.42</v>
      </c>
    </row>
    <row r="420" spans="1:10" ht="15.75" thickBot="1">
      <c r="A420" s="2">
        <v>12452</v>
      </c>
      <c r="B420" s="8" t="s">
        <v>493</v>
      </c>
      <c r="C420" s="8" t="s">
        <v>555</v>
      </c>
      <c r="D420" s="8" t="s">
        <v>41</v>
      </c>
      <c r="E420" s="9">
        <v>1.35</v>
      </c>
      <c r="F420" s="10">
        <v>0</v>
      </c>
      <c r="G420" s="18">
        <v>0</v>
      </c>
      <c r="H420" s="26">
        <v>7.0000000000000007E-2</v>
      </c>
      <c r="I420" s="25">
        <v>7.0000000000000007E-2</v>
      </c>
      <c r="J420" s="31">
        <v>0</v>
      </c>
    </row>
    <row r="421" spans="1:10">
      <c r="A421" s="2">
        <v>12454</v>
      </c>
      <c r="B421" s="8" t="s">
        <v>208</v>
      </c>
      <c r="C421" s="8" t="s">
        <v>339</v>
      </c>
      <c r="D421" s="8" t="s">
        <v>16</v>
      </c>
      <c r="E421" s="9">
        <v>2.72</v>
      </c>
      <c r="F421" s="10">
        <v>1.06</v>
      </c>
      <c r="G421" s="18">
        <v>1.2</v>
      </c>
      <c r="H421" s="26">
        <v>1.1499999999999999</v>
      </c>
      <c r="I421" s="24">
        <v>2.04</v>
      </c>
      <c r="J421" s="31">
        <v>2.02</v>
      </c>
    </row>
    <row r="422" spans="1:10" ht="15.75" thickBot="1">
      <c r="A422" s="2">
        <v>12456</v>
      </c>
      <c r="B422" s="8" t="s">
        <v>408</v>
      </c>
      <c r="C422" s="8" t="s">
        <v>480</v>
      </c>
      <c r="D422" s="8" t="s">
        <v>11</v>
      </c>
      <c r="E422" s="9">
        <v>9</v>
      </c>
      <c r="F422" s="15">
        <f>6114942/10^6</f>
        <v>6.1149420000000001</v>
      </c>
      <c r="G422" s="18">
        <v>6.23</v>
      </c>
      <c r="H422" s="26">
        <v>6.15</v>
      </c>
      <c r="I422" s="25">
        <v>6.19</v>
      </c>
      <c r="J422" s="31">
        <v>6.15</v>
      </c>
    </row>
    <row r="423" spans="1:10" ht="15.75" thickBot="1">
      <c r="A423" s="2">
        <v>12457</v>
      </c>
      <c r="B423" s="8" t="s">
        <v>241</v>
      </c>
      <c r="C423" s="8" t="s">
        <v>241</v>
      </c>
      <c r="D423" s="8" t="s">
        <v>17</v>
      </c>
      <c r="E423" s="9">
        <v>28.11</v>
      </c>
      <c r="F423" s="10">
        <v>0.4</v>
      </c>
      <c r="G423" s="18">
        <v>0.72</v>
      </c>
      <c r="H423" s="26">
        <v>0.72</v>
      </c>
      <c r="I423" s="25">
        <v>0.71</v>
      </c>
      <c r="J423" s="31">
        <v>0.74</v>
      </c>
    </row>
    <row r="424" spans="1:10" ht="15.75" thickBot="1">
      <c r="A424" s="2">
        <v>12458</v>
      </c>
      <c r="B424" s="8" t="s">
        <v>593</v>
      </c>
      <c r="C424" s="8" t="s">
        <v>654</v>
      </c>
      <c r="D424" s="8" t="s">
        <v>55</v>
      </c>
      <c r="E424" s="9">
        <v>3.9</v>
      </c>
      <c r="F424" s="10">
        <v>0.12</v>
      </c>
      <c r="G424" s="18">
        <v>0.12</v>
      </c>
      <c r="H424" s="26">
        <v>0.12</v>
      </c>
      <c r="I424" s="25">
        <v>0.12</v>
      </c>
      <c r="J424" s="31">
        <v>0.12</v>
      </c>
    </row>
    <row r="425" spans="1:10" ht="15.75" thickBot="1">
      <c r="A425" s="2">
        <v>12459</v>
      </c>
      <c r="B425" s="8" t="s">
        <v>227</v>
      </c>
      <c r="C425" s="8" t="s">
        <v>335</v>
      </c>
      <c r="D425" s="8" t="s">
        <v>16</v>
      </c>
      <c r="E425" s="9">
        <v>28.78</v>
      </c>
      <c r="F425" s="10">
        <v>3.57</v>
      </c>
      <c r="G425" s="18">
        <v>4.03</v>
      </c>
      <c r="H425" s="26">
        <v>3.9</v>
      </c>
      <c r="I425" s="25">
        <v>4.1100000000000003</v>
      </c>
      <c r="J425" s="30">
        <v>4.04</v>
      </c>
    </row>
    <row r="426" spans="1:10" ht="15.75" thickBot="1">
      <c r="A426" s="2">
        <v>12460</v>
      </c>
      <c r="B426" s="8" t="s">
        <v>240</v>
      </c>
      <c r="C426" s="8" t="s">
        <v>317</v>
      </c>
      <c r="D426" s="8" t="s">
        <v>19</v>
      </c>
      <c r="E426" s="9">
        <v>3.51</v>
      </c>
      <c r="F426" s="10">
        <v>0.38</v>
      </c>
      <c r="G426" s="18">
        <v>0.38</v>
      </c>
      <c r="H426" s="26">
        <v>0.34</v>
      </c>
      <c r="I426" s="25">
        <v>0.42</v>
      </c>
      <c r="J426" s="30">
        <v>0.41</v>
      </c>
    </row>
    <row r="427" spans="1:10">
      <c r="A427" s="2">
        <v>12461</v>
      </c>
      <c r="B427" s="8" t="s">
        <v>690</v>
      </c>
      <c r="C427" s="8" t="s">
        <v>727</v>
      </c>
      <c r="D427" s="8" t="s">
        <v>13</v>
      </c>
      <c r="E427" s="9">
        <v>0.97</v>
      </c>
      <c r="F427" s="10">
        <v>0.11</v>
      </c>
      <c r="G427" s="18">
        <v>0.54</v>
      </c>
      <c r="H427" s="26">
        <v>0.56000000000000005</v>
      </c>
      <c r="I427" s="24">
        <v>0.83</v>
      </c>
      <c r="J427" s="30">
        <v>0.77</v>
      </c>
    </row>
    <row r="428" spans="1:10" ht="15.75" thickBot="1">
      <c r="A428" s="2">
        <v>12462</v>
      </c>
      <c r="B428" s="8" t="s">
        <v>376</v>
      </c>
      <c r="C428" s="8" t="s">
        <v>481</v>
      </c>
      <c r="D428" s="8" t="s">
        <v>11</v>
      </c>
      <c r="E428" s="9">
        <v>15.44</v>
      </c>
      <c r="F428" s="15">
        <f>2006584/10^6</f>
        <v>2.0065840000000001</v>
      </c>
      <c r="G428" s="18">
        <v>2.0099999999999998</v>
      </c>
      <c r="H428" s="26">
        <v>1.87</v>
      </c>
      <c r="I428" s="25">
        <v>1.87</v>
      </c>
      <c r="J428" s="31">
        <v>1.63</v>
      </c>
    </row>
    <row r="429" spans="1:10" ht="15.75" thickBot="1">
      <c r="A429" s="2">
        <v>12463</v>
      </c>
      <c r="B429" s="8" t="s">
        <v>298</v>
      </c>
      <c r="C429" s="8" t="s">
        <v>655</v>
      </c>
      <c r="D429" s="8" t="s">
        <v>55</v>
      </c>
      <c r="E429" s="9">
        <v>7.99</v>
      </c>
      <c r="F429" s="10">
        <v>0.11</v>
      </c>
      <c r="G429" s="18">
        <v>0.19</v>
      </c>
      <c r="H429" s="26">
        <v>0.19</v>
      </c>
      <c r="I429" s="25">
        <v>0.27</v>
      </c>
      <c r="J429" s="31">
        <v>0.26</v>
      </c>
    </row>
    <row r="430" spans="1:10" ht="15.75" thickBot="1">
      <c r="A430" s="2">
        <v>12464</v>
      </c>
      <c r="B430" s="8" t="s">
        <v>614</v>
      </c>
      <c r="C430" s="8" t="s">
        <v>656</v>
      </c>
      <c r="D430" s="8" t="s">
        <v>51</v>
      </c>
      <c r="E430" s="9">
        <v>35.229999999999997</v>
      </c>
      <c r="F430" s="10">
        <v>1.58</v>
      </c>
      <c r="G430" s="18">
        <v>1.51</v>
      </c>
      <c r="H430" s="26">
        <v>1.51</v>
      </c>
      <c r="I430" s="25">
        <v>1.51</v>
      </c>
      <c r="J430" s="31">
        <v>1.51</v>
      </c>
    </row>
    <row r="431" spans="1:10" ht="15.75" thickBot="1">
      <c r="A431" s="2">
        <v>12465</v>
      </c>
      <c r="B431" s="8" t="s">
        <v>235</v>
      </c>
      <c r="C431" s="8" t="s">
        <v>318</v>
      </c>
      <c r="D431" s="8" t="s">
        <v>18</v>
      </c>
      <c r="E431" s="9">
        <v>18.190000000000001</v>
      </c>
      <c r="F431" s="10">
        <v>0.38</v>
      </c>
      <c r="G431" s="18">
        <v>0.3</v>
      </c>
      <c r="H431" s="26">
        <v>0.22</v>
      </c>
      <c r="I431" s="25">
        <v>0.15</v>
      </c>
      <c r="J431" s="31">
        <v>0.1</v>
      </c>
    </row>
    <row r="432" spans="1:10" ht="15.75" thickBot="1">
      <c r="A432" s="2">
        <v>12466</v>
      </c>
      <c r="B432" s="8" t="s">
        <v>194</v>
      </c>
      <c r="C432" s="8" t="s">
        <v>329</v>
      </c>
      <c r="D432" s="8" t="s">
        <v>12</v>
      </c>
      <c r="E432" s="9">
        <v>5.51</v>
      </c>
      <c r="F432" s="10">
        <v>1.0900000000000001</v>
      </c>
      <c r="G432" s="18">
        <v>1.78</v>
      </c>
      <c r="H432" s="26">
        <v>1.74</v>
      </c>
      <c r="I432" s="25">
        <v>2.71</v>
      </c>
      <c r="J432" s="30">
        <v>2.64</v>
      </c>
    </row>
    <row r="433" spans="1:10" ht="15.75" thickBot="1">
      <c r="A433" s="2">
        <v>12467</v>
      </c>
      <c r="B433" s="8" t="s">
        <v>108</v>
      </c>
      <c r="C433" s="8" t="s">
        <v>728</v>
      </c>
      <c r="D433" s="8" t="s">
        <v>7</v>
      </c>
      <c r="E433" s="9">
        <v>0.41</v>
      </c>
      <c r="F433" s="10">
        <v>0</v>
      </c>
      <c r="G433" s="18">
        <v>0</v>
      </c>
      <c r="H433" s="26">
        <v>0</v>
      </c>
      <c r="I433" s="24">
        <v>0</v>
      </c>
      <c r="J433" s="31">
        <v>0</v>
      </c>
    </row>
    <row r="434" spans="1:10" ht="15.75" thickBot="1">
      <c r="A434" s="2">
        <v>12468</v>
      </c>
      <c r="B434" s="8" t="s">
        <v>159</v>
      </c>
      <c r="C434" s="8" t="s">
        <v>159</v>
      </c>
      <c r="D434" s="8" t="s">
        <v>139</v>
      </c>
      <c r="E434" s="9">
        <v>23.75</v>
      </c>
      <c r="F434" s="10">
        <v>17.78</v>
      </c>
      <c r="G434" s="18">
        <v>23.97</v>
      </c>
      <c r="H434" s="26">
        <v>23.58</v>
      </c>
      <c r="I434" s="25">
        <v>23.15</v>
      </c>
      <c r="J434" s="30">
        <v>22.49</v>
      </c>
    </row>
    <row r="435" spans="1:10" ht="15.75" thickBot="1">
      <c r="A435" s="2">
        <v>12469</v>
      </c>
      <c r="B435" s="8" t="s">
        <v>663</v>
      </c>
      <c r="C435" s="8" t="s">
        <v>667</v>
      </c>
      <c r="D435" s="8" t="s">
        <v>5</v>
      </c>
      <c r="E435" s="9">
        <v>7.98</v>
      </c>
      <c r="F435" s="10">
        <v>2.88</v>
      </c>
      <c r="G435" s="18">
        <v>2.88</v>
      </c>
      <c r="H435" s="26">
        <v>2.88</v>
      </c>
      <c r="I435" s="24">
        <v>2.64</v>
      </c>
      <c r="J435" s="31">
        <v>2.64</v>
      </c>
    </row>
    <row r="436" spans="1:10" ht="15.75" thickBot="1">
      <c r="A436" s="2">
        <v>12470</v>
      </c>
      <c r="B436" s="8" t="s">
        <v>181</v>
      </c>
      <c r="C436" s="8" t="s">
        <v>337</v>
      </c>
      <c r="D436" s="8" t="s">
        <v>15</v>
      </c>
      <c r="E436" s="9">
        <v>16.5</v>
      </c>
      <c r="F436" s="10">
        <v>0.04</v>
      </c>
      <c r="G436" s="18">
        <v>16.5</v>
      </c>
      <c r="H436" s="26">
        <v>15.54</v>
      </c>
      <c r="I436" s="24">
        <v>14.97</v>
      </c>
      <c r="J436" s="31">
        <v>14.17</v>
      </c>
    </row>
    <row r="437" spans="1:10" ht="15.75" thickBot="1">
      <c r="A437" s="2">
        <v>12471</v>
      </c>
      <c r="B437" s="8" t="s">
        <v>229</v>
      </c>
      <c r="C437" s="8" t="s">
        <v>336</v>
      </c>
      <c r="D437" s="8" t="s">
        <v>15</v>
      </c>
      <c r="E437" s="9">
        <v>301</v>
      </c>
      <c r="F437" s="10">
        <v>62.29</v>
      </c>
      <c r="G437" s="18">
        <v>60.82</v>
      </c>
      <c r="H437" s="26">
        <v>57.98</v>
      </c>
      <c r="I437" s="24">
        <v>58.96</v>
      </c>
      <c r="J437" s="31">
        <v>57.98</v>
      </c>
    </row>
    <row r="438" spans="1:10" ht="15.75" thickBot="1">
      <c r="A438" s="2">
        <v>12472</v>
      </c>
      <c r="B438" s="8" t="s">
        <v>160</v>
      </c>
      <c r="C438" s="8" t="s">
        <v>163</v>
      </c>
      <c r="D438" s="8" t="s">
        <v>139</v>
      </c>
      <c r="E438" s="9">
        <v>39</v>
      </c>
      <c r="F438" s="10">
        <v>8.67</v>
      </c>
      <c r="G438" s="18">
        <v>14.26</v>
      </c>
      <c r="H438" s="26">
        <v>14.86</v>
      </c>
      <c r="I438" s="25">
        <v>14.33</v>
      </c>
      <c r="J438" s="31">
        <v>13.58</v>
      </c>
    </row>
    <row r="439" spans="1:10" ht="15.75" thickBot="1">
      <c r="A439" s="2">
        <v>12474</v>
      </c>
      <c r="B439" s="8" t="s">
        <v>225</v>
      </c>
      <c r="C439" s="8" t="s">
        <v>319</v>
      </c>
      <c r="D439" s="8" t="s">
        <v>16</v>
      </c>
      <c r="E439" s="9">
        <v>31.8</v>
      </c>
      <c r="F439" s="10">
        <v>7.06</v>
      </c>
      <c r="G439" s="18">
        <v>6.73</v>
      </c>
      <c r="H439" s="26">
        <v>6.17</v>
      </c>
      <c r="I439" s="24">
        <v>10.16</v>
      </c>
      <c r="J439" s="30">
        <v>10.33</v>
      </c>
    </row>
    <row r="440" spans="1:10" ht="15.75" thickBot="1">
      <c r="A440" s="4">
        <v>12475</v>
      </c>
      <c r="B440" s="8" t="s">
        <v>770</v>
      </c>
      <c r="C440" s="8" t="s">
        <v>657</v>
      </c>
      <c r="D440" s="8" t="s">
        <v>18</v>
      </c>
      <c r="E440" s="9">
        <v>35.04</v>
      </c>
      <c r="F440" s="10">
        <v>0.23</v>
      </c>
      <c r="G440" s="18">
        <v>54.35</v>
      </c>
      <c r="H440" s="26">
        <v>54.35</v>
      </c>
      <c r="I440" s="24">
        <v>54.94</v>
      </c>
      <c r="J440" s="30">
        <v>0.23</v>
      </c>
    </row>
    <row r="441" spans="1:10" ht="15.75" thickBot="1">
      <c r="A441" s="2">
        <v>12476</v>
      </c>
      <c r="B441" s="8" t="s">
        <v>617</v>
      </c>
      <c r="C441" s="8" t="s">
        <v>657</v>
      </c>
      <c r="D441" s="8" t="s">
        <v>55</v>
      </c>
      <c r="E441" s="9">
        <v>292.81</v>
      </c>
      <c r="F441" s="10">
        <v>59.03</v>
      </c>
      <c r="G441" s="18">
        <v>0.23</v>
      </c>
      <c r="H441" s="26">
        <v>0.23</v>
      </c>
      <c r="I441" s="24">
        <v>0.23</v>
      </c>
      <c r="J441" s="31">
        <v>50.99</v>
      </c>
    </row>
    <row r="442" spans="1:10" ht="15.75" thickBot="1">
      <c r="A442" s="2">
        <v>12477</v>
      </c>
      <c r="B442" s="8" t="s">
        <v>617</v>
      </c>
      <c r="C442" s="8" t="s">
        <v>617</v>
      </c>
      <c r="D442" s="8" t="s">
        <v>55</v>
      </c>
      <c r="E442" s="9">
        <v>3.1</v>
      </c>
      <c r="F442" s="10">
        <v>0</v>
      </c>
      <c r="G442" s="18">
        <v>0</v>
      </c>
      <c r="H442" s="26">
        <v>0</v>
      </c>
      <c r="I442" s="25">
        <v>0</v>
      </c>
      <c r="J442" s="31">
        <v>0</v>
      </c>
    </row>
    <row r="443" spans="1:10" ht="15.75" thickBot="1">
      <c r="A443" s="2">
        <v>12480</v>
      </c>
      <c r="B443" s="8" t="s">
        <v>343</v>
      </c>
      <c r="C443" s="8" t="s">
        <v>330</v>
      </c>
      <c r="D443" s="8" t="s">
        <v>15</v>
      </c>
      <c r="E443" s="9">
        <v>2.02</v>
      </c>
      <c r="F443" s="10">
        <v>0.55000000000000004</v>
      </c>
      <c r="G443" s="18">
        <v>0.56999999999999995</v>
      </c>
      <c r="H443" s="26">
        <v>0.53</v>
      </c>
      <c r="I443" s="25">
        <v>0.5</v>
      </c>
      <c r="J443" s="31">
        <v>0.45</v>
      </c>
    </row>
    <row r="444" spans="1:10" ht="15.75" thickBot="1">
      <c r="A444" s="2">
        <v>12481</v>
      </c>
      <c r="B444" s="8" t="s">
        <v>411</v>
      </c>
      <c r="C444" s="8" t="s">
        <v>411</v>
      </c>
      <c r="D444" s="8" t="s">
        <v>29</v>
      </c>
      <c r="E444" s="9">
        <v>1.1299999999999999</v>
      </c>
      <c r="F444" s="13">
        <f>608/10^6</f>
        <v>6.0800000000000003E-4</v>
      </c>
      <c r="G444" s="18">
        <v>0.19</v>
      </c>
      <c r="H444" s="26">
        <v>0.2</v>
      </c>
      <c r="I444" s="25">
        <v>0.23</v>
      </c>
      <c r="J444" s="31">
        <f>256601/10^6</f>
        <v>0.25660100000000002</v>
      </c>
    </row>
    <row r="445" spans="1:10" ht="15.75" thickBot="1">
      <c r="A445" s="2">
        <v>12483</v>
      </c>
      <c r="B445" s="8" t="s">
        <v>181</v>
      </c>
      <c r="C445" s="8" t="s">
        <v>344</v>
      </c>
      <c r="D445" s="8" t="s">
        <v>15</v>
      </c>
      <c r="E445" s="9">
        <v>51.91</v>
      </c>
      <c r="F445" s="10">
        <v>0.27</v>
      </c>
      <c r="G445" s="18">
        <v>6.34</v>
      </c>
      <c r="H445" s="26">
        <v>5.0999999999999996</v>
      </c>
      <c r="I445" s="24">
        <v>4.8099999999999996</v>
      </c>
      <c r="J445" s="31">
        <v>4.25</v>
      </c>
    </row>
    <row r="446" spans="1:10" ht="15.75" thickBot="1">
      <c r="A446" s="2">
        <v>12485</v>
      </c>
      <c r="B446" s="8" t="s">
        <v>382</v>
      </c>
      <c r="C446" s="8" t="s">
        <v>482</v>
      </c>
      <c r="D446" s="8" t="s">
        <v>29</v>
      </c>
      <c r="E446" s="9">
        <v>21.53</v>
      </c>
      <c r="F446" s="13">
        <f>624915/10^6</f>
        <v>0.624915</v>
      </c>
      <c r="G446" s="18">
        <v>0.59</v>
      </c>
      <c r="H446" s="26">
        <v>0.5</v>
      </c>
      <c r="I446" s="24">
        <v>0.38</v>
      </c>
      <c r="J446" s="30">
        <v>0.37</v>
      </c>
    </row>
    <row r="447" spans="1:10" ht="15.75" thickBot="1">
      <c r="A447" s="4">
        <v>12486</v>
      </c>
      <c r="B447" s="8" t="s">
        <v>499</v>
      </c>
      <c r="C447" s="8" t="s">
        <v>763</v>
      </c>
      <c r="D447" s="8" t="s">
        <v>45</v>
      </c>
      <c r="E447" s="9">
        <v>1.1299999999999999</v>
      </c>
      <c r="F447" s="10">
        <v>1.1100000000000001</v>
      </c>
      <c r="G447" s="18">
        <v>1.1100000000000001</v>
      </c>
      <c r="H447" s="26">
        <v>1.1100000000000001</v>
      </c>
      <c r="I447" s="24">
        <v>1.1100000000000001</v>
      </c>
      <c r="J447" s="31">
        <v>1.1100000000000001</v>
      </c>
    </row>
    <row r="448" spans="1:10" ht="15.75" thickBot="1">
      <c r="A448" s="2">
        <v>12487</v>
      </c>
      <c r="B448" s="8" t="s">
        <v>269</v>
      </c>
      <c r="C448" s="8" t="s">
        <v>483</v>
      </c>
      <c r="D448" s="8" t="s">
        <v>11</v>
      </c>
      <c r="E448" s="9">
        <v>9.09</v>
      </c>
      <c r="F448" s="13">
        <f>3265794/10^6</f>
        <v>3.2657940000000001</v>
      </c>
      <c r="G448" s="18">
        <v>3.28</v>
      </c>
      <c r="H448" s="26">
        <v>3.3</v>
      </c>
      <c r="I448" s="25">
        <f>3183656/10^6</f>
        <v>3.183656</v>
      </c>
      <c r="J448" s="31">
        <v>3.18</v>
      </c>
    </row>
    <row r="449" spans="1:10" ht="15.75" thickBot="1">
      <c r="A449" s="2">
        <v>12488</v>
      </c>
      <c r="B449" s="8" t="s">
        <v>361</v>
      </c>
      <c r="C449" s="8" t="s">
        <v>484</v>
      </c>
      <c r="D449" s="8" t="s">
        <v>11</v>
      </c>
      <c r="E449" s="9">
        <v>6.04</v>
      </c>
      <c r="F449" s="13">
        <f>722078/10^6</f>
        <v>0.722078</v>
      </c>
      <c r="G449" s="18">
        <v>0.69</v>
      </c>
      <c r="H449" s="26">
        <v>0.67</v>
      </c>
      <c r="I449" s="25">
        <v>0.65</v>
      </c>
      <c r="J449" s="30">
        <v>0.63</v>
      </c>
    </row>
    <row r="450" spans="1:10" ht="15.75" thickBot="1">
      <c r="A450" s="2">
        <v>12489</v>
      </c>
      <c r="B450" s="8" t="s">
        <v>221</v>
      </c>
      <c r="C450" s="8" t="s">
        <v>320</v>
      </c>
      <c r="D450" s="8" t="s">
        <v>18</v>
      </c>
      <c r="E450" s="9">
        <v>20.96</v>
      </c>
      <c r="F450" s="10">
        <v>0</v>
      </c>
      <c r="G450" s="18">
        <v>0</v>
      </c>
      <c r="H450" s="26">
        <v>0</v>
      </c>
      <c r="I450" s="24">
        <v>0</v>
      </c>
      <c r="J450" s="31">
        <v>0</v>
      </c>
    </row>
    <row r="451" spans="1:10" ht="15.75" thickBot="1">
      <c r="A451" s="4">
        <v>12490</v>
      </c>
      <c r="B451" s="8" t="s">
        <v>771</v>
      </c>
      <c r="C451" s="8" t="s">
        <v>774</v>
      </c>
      <c r="D451" s="8" t="s">
        <v>48</v>
      </c>
      <c r="E451" s="9">
        <v>11.8</v>
      </c>
      <c r="F451" s="10">
        <v>0</v>
      </c>
      <c r="G451" s="18">
        <v>0</v>
      </c>
      <c r="H451" s="26">
        <v>0</v>
      </c>
      <c r="I451" s="25">
        <v>0</v>
      </c>
      <c r="J451" s="31">
        <v>0</v>
      </c>
    </row>
    <row r="452" spans="1:10" ht="15.75" thickBot="1">
      <c r="A452" s="2">
        <v>12491</v>
      </c>
      <c r="B452" s="8" t="s">
        <v>161</v>
      </c>
      <c r="C452" s="8" t="s">
        <v>164</v>
      </c>
      <c r="D452" s="8" t="s">
        <v>779</v>
      </c>
      <c r="E452" s="9">
        <v>60.85</v>
      </c>
      <c r="F452" s="10">
        <v>20.100000000000001</v>
      </c>
      <c r="G452" s="18">
        <v>37.979999999999997</v>
      </c>
      <c r="H452" s="26">
        <v>40.56</v>
      </c>
      <c r="I452" s="24">
        <v>39.520000000000003</v>
      </c>
      <c r="J452" s="30">
        <v>36.880000000000003</v>
      </c>
    </row>
    <row r="453" spans="1:10" s="1" customFormat="1">
      <c r="A453" s="2">
        <v>12492</v>
      </c>
      <c r="B453" s="8" t="s">
        <v>596</v>
      </c>
      <c r="C453" s="8" t="s">
        <v>658</v>
      </c>
      <c r="D453" s="8" t="s">
        <v>54</v>
      </c>
      <c r="E453" s="9">
        <v>7.92</v>
      </c>
      <c r="F453" s="10">
        <v>0</v>
      </c>
      <c r="G453" s="18">
        <v>0.08</v>
      </c>
      <c r="H453" s="26">
        <v>0.08</v>
      </c>
      <c r="I453" s="25">
        <f>1641075/10^6</f>
        <v>1.6410750000000001</v>
      </c>
      <c r="J453" s="30">
        <v>1.31</v>
      </c>
    </row>
    <row r="454" spans="1:10">
      <c r="A454" s="20"/>
      <c r="B454" s="27"/>
      <c r="C454" s="27"/>
      <c r="D454" s="27"/>
      <c r="E454" s="28"/>
      <c r="F454" s="27"/>
      <c r="G454" s="29"/>
      <c r="I454" s="20"/>
      <c r="J454" s="20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Reservatório_ANA_JU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</dc:creator>
  <cp:lastModifiedBy>geoprocessamento1</cp:lastModifiedBy>
  <dcterms:created xsi:type="dcterms:W3CDTF">2015-03-19T14:21:36Z</dcterms:created>
  <dcterms:modified xsi:type="dcterms:W3CDTF">2016-07-14T19:01:37Z</dcterms:modified>
</cp:coreProperties>
</file>