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Physics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1" l="1"/>
  <c r="H27" i="1"/>
  <c r="H28" i="1"/>
  <c r="H29" i="1"/>
  <c r="H30" i="1"/>
  <c r="H31" i="1"/>
  <c r="H32" i="1"/>
  <c r="H33" i="1"/>
  <c r="H34" i="1"/>
  <c r="N26" i="1"/>
  <c r="N27" i="1"/>
  <c r="N28" i="1"/>
  <c r="N29" i="1"/>
  <c r="N30" i="1"/>
  <c r="N31" i="1"/>
  <c r="N32" i="1"/>
  <c r="N33" i="1"/>
  <c r="N34" i="1"/>
  <c r="O27" i="1" l="1"/>
  <c r="O28" i="1"/>
  <c r="O29" i="1"/>
  <c r="O30" i="1"/>
  <c r="O31" i="1"/>
  <c r="O32" i="1"/>
  <c r="O33" i="1"/>
  <c r="O34" i="1"/>
  <c r="O26" i="1"/>
  <c r="K26" i="1"/>
  <c r="J26" i="1"/>
  <c r="L27" i="1"/>
  <c r="L28" i="1"/>
  <c r="L29" i="1"/>
  <c r="L30" i="1"/>
  <c r="L31" i="1"/>
  <c r="L32" i="1"/>
  <c r="L33" i="1"/>
  <c r="L34" i="1"/>
  <c r="L26" i="1"/>
  <c r="K27" i="1"/>
  <c r="K28" i="1"/>
  <c r="K29" i="1"/>
  <c r="K30" i="1"/>
  <c r="K31" i="1"/>
  <c r="K32" i="1"/>
  <c r="K33" i="1"/>
  <c r="K34" i="1"/>
  <c r="I27" i="1"/>
  <c r="M27" i="1" s="1"/>
  <c r="I28" i="1"/>
  <c r="M28" i="1" s="1"/>
  <c r="I29" i="1"/>
  <c r="M29" i="1" s="1"/>
  <c r="I30" i="1"/>
  <c r="M30" i="1" s="1"/>
  <c r="I31" i="1"/>
  <c r="M31" i="1" s="1"/>
  <c r="I32" i="1"/>
  <c r="M32" i="1" s="1"/>
  <c r="I33" i="1"/>
  <c r="M33" i="1" s="1"/>
  <c r="I34" i="1"/>
  <c r="M34" i="1" s="1"/>
  <c r="I26" i="1"/>
  <c r="M26" i="1" s="1"/>
  <c r="G28" i="1"/>
  <c r="J27" i="1"/>
  <c r="J28" i="1"/>
  <c r="J29" i="1"/>
  <c r="J30" i="1"/>
  <c r="J31" i="1"/>
  <c r="J32" i="1"/>
  <c r="J33" i="1"/>
  <c r="J34" i="1"/>
  <c r="M23" i="1" l="1"/>
  <c r="G18" i="1"/>
  <c r="M16" i="1"/>
  <c r="M17" i="1"/>
  <c r="M18" i="1"/>
  <c r="M19" i="1"/>
  <c r="M20" i="1"/>
  <c r="M21" i="1"/>
  <c r="M22" i="1"/>
  <c r="M24" i="1"/>
  <c r="K4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H19" i="1" l="1"/>
  <c r="H24" i="1"/>
  <c r="H22" i="1"/>
  <c r="G6" i="1"/>
  <c r="K6" i="1" s="1"/>
  <c r="E44" i="1"/>
  <c r="F44" i="1"/>
  <c r="E32" i="1"/>
  <c r="F32" i="1"/>
  <c r="E24" i="1"/>
  <c r="F24" i="1"/>
  <c r="E12" i="1"/>
  <c r="F12" i="1"/>
  <c r="E8" i="1"/>
  <c r="F8" i="1"/>
  <c r="E43" i="1"/>
  <c r="F43" i="1"/>
  <c r="E31" i="1"/>
  <c r="F31" i="1"/>
  <c r="E23" i="1"/>
  <c r="F23" i="1"/>
  <c r="E3" i="1"/>
  <c r="F3" i="1"/>
  <c r="E36" i="1"/>
  <c r="F36" i="1"/>
  <c r="E20" i="1"/>
  <c r="F20" i="1"/>
  <c r="E47" i="1"/>
  <c r="F47" i="1"/>
  <c r="E35" i="1"/>
  <c r="F35" i="1"/>
  <c r="E27" i="1"/>
  <c r="F27" i="1"/>
  <c r="E19" i="1"/>
  <c r="F19" i="1"/>
  <c r="E15" i="1"/>
  <c r="F15" i="1"/>
  <c r="E30" i="1"/>
  <c r="F30" i="1"/>
  <c r="E26" i="1"/>
  <c r="F26" i="1"/>
  <c r="E22" i="1"/>
  <c r="F22" i="1"/>
  <c r="E18" i="1"/>
  <c r="F18" i="1"/>
  <c r="E14" i="1"/>
  <c r="F14" i="1"/>
  <c r="E10" i="1"/>
  <c r="F10" i="1"/>
  <c r="E6" i="1"/>
  <c r="F6" i="1"/>
  <c r="E2" i="1"/>
  <c r="F2" i="1"/>
  <c r="E40" i="1"/>
  <c r="F40" i="1"/>
  <c r="E28" i="1"/>
  <c r="F28" i="1"/>
  <c r="E16" i="1"/>
  <c r="F16" i="1"/>
  <c r="E4" i="1"/>
  <c r="F4" i="1"/>
  <c r="E39" i="1"/>
  <c r="F39" i="1"/>
  <c r="E11" i="1"/>
  <c r="F11" i="1"/>
  <c r="E7" i="1"/>
  <c r="F7" i="1"/>
  <c r="E46" i="1"/>
  <c r="F46" i="1"/>
  <c r="E42" i="1"/>
  <c r="F42" i="1"/>
  <c r="E38" i="1"/>
  <c r="K23" i="1" s="1"/>
  <c r="L23" i="1" s="1"/>
  <c r="F38" i="1"/>
  <c r="I13" i="1" s="1"/>
  <c r="J13" i="1" s="1"/>
  <c r="E34" i="1"/>
  <c r="F34" i="1"/>
  <c r="E45" i="1"/>
  <c r="F45" i="1"/>
  <c r="E41" i="1"/>
  <c r="F41" i="1"/>
  <c r="E37" i="1"/>
  <c r="F37" i="1"/>
  <c r="E33" i="1"/>
  <c r="F33" i="1"/>
  <c r="E29" i="1"/>
  <c r="F29" i="1"/>
  <c r="E25" i="1"/>
  <c r="F25" i="1"/>
  <c r="E21" i="1"/>
  <c r="F21" i="1"/>
  <c r="E17" i="1"/>
  <c r="F17" i="1"/>
  <c r="E13" i="1"/>
  <c r="K18" i="1" s="1"/>
  <c r="L18" i="1" s="1"/>
  <c r="F13" i="1"/>
  <c r="E9" i="1"/>
  <c r="F9" i="1"/>
  <c r="E5" i="1"/>
  <c r="F5" i="1"/>
  <c r="G14" i="1"/>
  <c r="G10" i="1"/>
  <c r="G13" i="1"/>
  <c r="G9" i="1"/>
  <c r="G12" i="1"/>
  <c r="G8" i="1"/>
  <c r="N23" i="1"/>
  <c r="H6" i="1"/>
  <c r="G11" i="1"/>
  <c r="G7" i="1"/>
  <c r="H21" i="1"/>
  <c r="H23" i="1"/>
  <c r="H17" i="1"/>
  <c r="H18" i="1"/>
  <c r="H20" i="1"/>
  <c r="H16" i="1"/>
  <c r="H14" i="1" l="1"/>
  <c r="K14" i="1"/>
  <c r="H13" i="1"/>
  <c r="K13" i="1"/>
  <c r="L13" i="1" s="1"/>
  <c r="H12" i="1"/>
  <c r="K12" i="1"/>
  <c r="H11" i="1"/>
  <c r="K11" i="1"/>
  <c r="H10" i="1"/>
  <c r="K10" i="1"/>
  <c r="H9" i="1"/>
  <c r="K9" i="1"/>
  <c r="H8" i="1"/>
  <c r="K8" i="1"/>
  <c r="H7" i="1"/>
  <c r="K7" i="1"/>
  <c r="K21" i="1"/>
  <c r="L21" i="1" s="1"/>
  <c r="K16" i="1"/>
  <c r="L16" i="1" s="1"/>
  <c r="K19" i="1"/>
  <c r="L19" i="1" s="1"/>
  <c r="N19" i="1" s="1"/>
  <c r="K20" i="1"/>
  <c r="L20" i="1" s="1"/>
  <c r="N20" i="1" s="1"/>
  <c r="K24" i="1"/>
  <c r="L24" i="1" s="1"/>
  <c r="K22" i="1"/>
  <c r="L22" i="1" s="1"/>
  <c r="N22" i="1" s="1"/>
  <c r="K17" i="1"/>
  <c r="L17" i="1" s="1"/>
  <c r="N17" i="1" s="1"/>
  <c r="I6" i="1"/>
  <c r="J6" i="1" s="1"/>
  <c r="N21" i="1"/>
  <c r="I9" i="1"/>
  <c r="J9" i="1" s="1"/>
  <c r="I10" i="1"/>
  <c r="I14" i="1"/>
  <c r="J14" i="1" s="1"/>
  <c r="I8" i="1"/>
  <c r="J8" i="1" s="1"/>
  <c r="I12" i="1"/>
  <c r="J12" i="1" s="1"/>
  <c r="I7" i="1"/>
  <c r="J7" i="1" s="1"/>
  <c r="I11" i="1"/>
  <c r="J11" i="1" s="1"/>
  <c r="N24" i="1"/>
  <c r="N16" i="1"/>
  <c r="N18" i="1"/>
  <c r="L6" i="1" l="1"/>
  <c r="L8" i="1"/>
  <c r="L12" i="1"/>
  <c r="L14" i="1"/>
  <c r="L7" i="1"/>
  <c r="L9" i="1"/>
  <c r="L11" i="1"/>
  <c r="J10" i="1"/>
  <c r="L10" i="1" s="1"/>
</calcChain>
</file>

<file path=xl/sharedStrings.xml><?xml version="1.0" encoding="utf-8"?>
<sst xmlns="http://schemas.openxmlformats.org/spreadsheetml/2006/main" count="37" uniqueCount="35">
  <si>
    <t>Zeit1(s)</t>
    <phoneticPr fontId="1" type="noConversion"/>
  </si>
  <si>
    <t>Zeit2(s)</t>
    <phoneticPr fontId="1" type="noConversion"/>
  </si>
  <si>
    <t>t(s)</t>
    <phoneticPr fontId="1" type="noConversion"/>
  </si>
  <si>
    <t>v(cm/s)</t>
    <phoneticPr fontId="1" type="noConversion"/>
  </si>
  <si>
    <t>lamda</t>
    <phoneticPr fontId="1" type="noConversion"/>
  </si>
  <si>
    <t>R_Kugle(cm)</t>
    <phoneticPr fontId="1" type="noConversion"/>
  </si>
  <si>
    <t>R^2(cm^2)</t>
    <phoneticPr fontId="1" type="noConversion"/>
  </si>
  <si>
    <t>t(s)</t>
    <phoneticPr fontId="1" type="noConversion"/>
  </si>
  <si>
    <t>Volum(cm^3)</t>
    <phoneticPr fontId="1" type="noConversion"/>
  </si>
  <si>
    <t>Δ(R^2)</t>
    <phoneticPr fontId="1" type="noConversion"/>
  </si>
  <si>
    <t>ΔR</t>
    <phoneticPr fontId="1" type="noConversion"/>
  </si>
  <si>
    <r>
      <rPr>
        <sz val="11"/>
        <color theme="1"/>
        <rFont val="宋体"/>
        <family val="3"/>
        <charset val="134"/>
      </rPr>
      <t>ρ</t>
    </r>
    <r>
      <rPr>
        <sz val="11"/>
        <color theme="1"/>
        <rFont val="宋体"/>
        <family val="2"/>
        <charset val="134"/>
      </rPr>
      <t>_kugel</t>
    </r>
    <r>
      <rPr>
        <sz val="11"/>
        <color theme="1"/>
        <rFont val="宋体"/>
        <family val="2"/>
        <charset val="134"/>
        <scheme val="minor"/>
      </rPr>
      <t>(g/cm^3)</t>
    </r>
    <phoneticPr fontId="1" type="noConversion"/>
  </si>
  <si>
    <r>
      <t>ρ_f(T=22</t>
    </r>
    <r>
      <rPr>
        <sz val="11"/>
        <color theme="1"/>
        <rFont val="宋体"/>
        <family val="3"/>
        <charset val="134"/>
      </rPr>
      <t>℃</t>
    </r>
    <r>
      <rPr>
        <sz val="11"/>
        <color theme="1"/>
        <rFont val="宋体"/>
        <family val="2"/>
        <charset val="134"/>
        <scheme val="minor"/>
      </rPr>
      <t>)(g/cm^3)</t>
    </r>
    <phoneticPr fontId="1" type="noConversion"/>
  </si>
  <si>
    <t>v/(ρ_k - ρ_f)</t>
    <phoneticPr fontId="1" type="noConversion"/>
  </si>
  <si>
    <t>Δρ_k</t>
    <phoneticPr fontId="1" type="noConversion"/>
  </si>
  <si>
    <t>Δρ_f</t>
    <phoneticPr fontId="1" type="noConversion"/>
  </si>
  <si>
    <t>v*lamda/(ρ_k - ρ_f)</t>
    <phoneticPr fontId="1" type="noConversion"/>
  </si>
  <si>
    <t>Δv</t>
    <phoneticPr fontId="1" type="noConversion"/>
  </si>
  <si>
    <t>Δ(ρ_f-ρ_k)</t>
    <phoneticPr fontId="1" type="noConversion"/>
  </si>
  <si>
    <t>Δt(s)</t>
    <phoneticPr fontId="1" type="noConversion"/>
  </si>
  <si>
    <t>Δs(cm)</t>
    <phoneticPr fontId="1" type="noConversion"/>
  </si>
  <si>
    <t>v(cm/s)</t>
    <phoneticPr fontId="1" type="noConversion"/>
  </si>
  <si>
    <t>Δ(v/(ρ_f-ρ_k))</t>
    <phoneticPr fontId="1" type="noConversion"/>
  </si>
  <si>
    <t>R_Rohr(cm)</t>
    <phoneticPr fontId="1" type="noConversion"/>
  </si>
  <si>
    <t>Δlamda</t>
    <phoneticPr fontId="1" type="noConversion"/>
  </si>
  <si>
    <t>Δ(v*lamda/(ρ_k - ρ_f))</t>
    <phoneticPr fontId="1" type="noConversion"/>
  </si>
  <si>
    <t>s(cm)</t>
    <phoneticPr fontId="1" type="noConversion"/>
  </si>
  <si>
    <t>R_Kugle(cm)</t>
    <phoneticPr fontId="1" type="noConversion"/>
  </si>
  <si>
    <t>Δv_lam</t>
    <phoneticPr fontId="1" type="noConversion"/>
  </si>
  <si>
    <t>ΔRe</t>
    <phoneticPr fontId="1" type="noConversion"/>
  </si>
  <si>
    <t>v/v_lam</t>
    <phoneticPr fontId="1" type="noConversion"/>
  </si>
  <si>
    <t>Re(Stokes)</t>
    <phoneticPr fontId="1" type="noConversion"/>
  </si>
  <si>
    <t>Re(H-P)</t>
    <phoneticPr fontId="1" type="noConversion"/>
  </si>
  <si>
    <t>v_lam(cm/s)</t>
    <phoneticPr fontId="1" type="noConversion"/>
  </si>
  <si>
    <t>Δv/v_lam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</si>
</sst>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6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2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>
      <alignment vertical="center"/>
    </xf>
    <xf numFmtId="0" fontId="0" fillId="2" borderId="18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100" b="0" i="0" baseline="0">
                <a:effectLst/>
              </a:rPr>
              <a:t>Abbildung 1: Radius^2 der Kugel - Sinkgeschwindigkeit/Dichtedifferenz</a:t>
            </a:r>
            <a:endParaRPr lang="zh-CN" altLang="zh-CN" sz="1000">
              <a:effectLst/>
            </a:endParaRPr>
          </a:p>
        </c:rich>
      </c:tx>
      <c:layout>
        <c:manualLayout>
          <c:xMode val="edge"/>
          <c:yMode val="edge"/>
          <c:x val="0.12917882507333642"/>
          <c:y val="2.8789919447732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8138278554492189E-2"/>
          <c:y val="0.11265435319220526"/>
          <c:w val="0.878521963020233"/>
          <c:h val="0.7702888053772372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2.31487519756233E-2"/>
                  <c:y val="0.15143266092930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054012235812296"/>
                  <c:y val="8.4060126575915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1"/>
            <c:plus>
              <c:numRef>
                <c:f>Sheet1!$J$6:$J$14</c:f>
                <c:numCache>
                  <c:formatCode>General</c:formatCode>
                  <c:ptCount val="9"/>
                  <c:pt idx="0">
                    <c:v>1.6205768514010774E-2</c:v>
                  </c:pt>
                  <c:pt idx="1">
                    <c:v>1.7398176244160676E-2</c:v>
                  </c:pt>
                  <c:pt idx="2">
                    <c:v>3.3806193241817419E-2</c:v>
                  </c:pt>
                  <c:pt idx="3">
                    <c:v>5.5591256856590082E-2</c:v>
                  </c:pt>
                  <c:pt idx="4">
                    <c:v>8.1238951650964619E-2</c:v>
                  </c:pt>
                  <c:pt idx="5">
                    <c:v>0.11272027410531717</c:v>
                  </c:pt>
                  <c:pt idx="6">
                    <c:v>0.20110215073717008</c:v>
                  </c:pt>
                  <c:pt idx="7">
                    <c:v>0.15047713165410681</c:v>
                  </c:pt>
                  <c:pt idx="8">
                    <c:v>0.24170615225706729</c:v>
                  </c:pt>
                </c:numCache>
              </c:numRef>
            </c:plus>
            <c:minus>
              <c:numRef>
                <c:f>Sheet1!$J$6:$J$14</c:f>
                <c:numCache>
                  <c:formatCode>General</c:formatCode>
                  <c:ptCount val="9"/>
                  <c:pt idx="0">
                    <c:v>1.6205768514010774E-2</c:v>
                  </c:pt>
                  <c:pt idx="1">
                    <c:v>1.7398176244160676E-2</c:v>
                  </c:pt>
                  <c:pt idx="2">
                    <c:v>3.3806193241817419E-2</c:v>
                  </c:pt>
                  <c:pt idx="3">
                    <c:v>5.5591256856590082E-2</c:v>
                  </c:pt>
                  <c:pt idx="4">
                    <c:v>8.1238951650964619E-2</c:v>
                  </c:pt>
                  <c:pt idx="5">
                    <c:v>0.11272027410531717</c:v>
                  </c:pt>
                  <c:pt idx="6">
                    <c:v>0.20110215073717008</c:v>
                  </c:pt>
                  <c:pt idx="7">
                    <c:v>0.15047713165410681</c:v>
                  </c:pt>
                  <c:pt idx="8">
                    <c:v>0.24170615225706729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1"/>
            <c:plus>
              <c:numRef>
                <c:f>Sheet1!$H$6:$H$14</c:f>
                <c:numCache>
                  <c:formatCode>General</c:formatCode>
                  <c:ptCount val="9"/>
                  <c:pt idx="0">
                    <c:v>5.6249999999999998E-5</c:v>
                  </c:pt>
                  <c:pt idx="1">
                    <c:v>1E-4</c:v>
                  </c:pt>
                  <c:pt idx="2">
                    <c:v>2.2499999999999999E-4</c:v>
                  </c:pt>
                  <c:pt idx="3">
                    <c:v>4.0000000000000002E-4</c:v>
                  </c:pt>
                  <c:pt idx="4">
                    <c:v>6.2500000000000001E-4</c:v>
                  </c:pt>
                  <c:pt idx="5">
                    <c:v>8.9999999999999998E-4</c:v>
                  </c:pt>
                  <c:pt idx="6">
                    <c:v>1.6000000000000001E-3</c:v>
                  </c:pt>
                  <c:pt idx="7">
                    <c:v>1.2744899999999999E-3</c:v>
                  </c:pt>
                  <c:pt idx="8">
                    <c:v>2.0250000000000003E-3</c:v>
                  </c:pt>
                </c:numCache>
              </c:numRef>
            </c:plus>
            <c:minus>
              <c:numRef>
                <c:f>Sheet1!$H$6:$H$14</c:f>
                <c:numCache>
                  <c:formatCode>General</c:formatCode>
                  <c:ptCount val="9"/>
                  <c:pt idx="0">
                    <c:v>5.6249999999999998E-5</c:v>
                  </c:pt>
                  <c:pt idx="1">
                    <c:v>1E-4</c:v>
                  </c:pt>
                  <c:pt idx="2">
                    <c:v>2.2499999999999999E-4</c:v>
                  </c:pt>
                  <c:pt idx="3">
                    <c:v>4.0000000000000002E-4</c:v>
                  </c:pt>
                  <c:pt idx="4">
                    <c:v>6.2500000000000001E-4</c:v>
                  </c:pt>
                  <c:pt idx="5">
                    <c:v>8.9999999999999998E-4</c:v>
                  </c:pt>
                  <c:pt idx="6">
                    <c:v>1.6000000000000001E-3</c:v>
                  </c:pt>
                  <c:pt idx="7">
                    <c:v>1.2744899999999999E-3</c:v>
                  </c:pt>
                  <c:pt idx="8">
                    <c:v>2.0250000000000003E-3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Sheet1!$H$16:$H$24</c:f>
              <c:numCache>
                <c:formatCode>General</c:formatCode>
                <c:ptCount val="9"/>
                <c:pt idx="0">
                  <c:v>5.6249999999999998E-3</c:v>
                </c:pt>
                <c:pt idx="1">
                  <c:v>1.0000000000000002E-2</c:v>
                </c:pt>
                <c:pt idx="2">
                  <c:v>2.2499999999999999E-2</c:v>
                </c:pt>
                <c:pt idx="3">
                  <c:v>4.0000000000000008E-2</c:v>
                </c:pt>
                <c:pt idx="4">
                  <c:v>6.25E-2</c:v>
                </c:pt>
                <c:pt idx="5">
                  <c:v>0.09</c:v>
                </c:pt>
                <c:pt idx="6">
                  <c:v>0.16000000000000003</c:v>
                </c:pt>
                <c:pt idx="7">
                  <c:v>0.12744899999999998</c:v>
                </c:pt>
                <c:pt idx="8">
                  <c:v>0.20250000000000001</c:v>
                </c:pt>
              </c:numCache>
            </c:numRef>
          </c:xVal>
          <c:yVal>
            <c:numRef>
              <c:f>Sheet1!$L$16:$L$24</c:f>
              <c:numCache>
                <c:formatCode>General</c:formatCode>
                <c:ptCount val="9"/>
                <c:pt idx="0">
                  <c:v>0.72353930478119133</c:v>
                </c:pt>
                <c:pt idx="1">
                  <c:v>1.2085221680743932</c:v>
                </c:pt>
                <c:pt idx="2">
                  <c:v>2.295759505053387</c:v>
                </c:pt>
                <c:pt idx="3">
                  <c:v>3.8897852317160191</c:v>
                </c:pt>
                <c:pt idx="4">
                  <c:v>5.5724367049274592</c:v>
                </c:pt>
                <c:pt idx="5">
                  <c:v>7.7906433202883658</c:v>
                </c:pt>
                <c:pt idx="6">
                  <c:v>12.684262168075604</c:v>
                </c:pt>
                <c:pt idx="7">
                  <c:v>10.380592182998138</c:v>
                </c:pt>
                <c:pt idx="8">
                  <c:v>15.767160359804461</c:v>
                </c:pt>
              </c:numCache>
            </c:numRef>
          </c:yVal>
          <c:smooth val="0"/>
        </c:ser>
        <c:ser>
          <c:idx val="1"/>
          <c:order val="1"/>
          <c:tx>
            <c:v>neue 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441457476043342"/>
                  <c:y val="3.45560349619074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262443460390236"/>
                  <c:y val="8.78749832322673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Sheet1!$L$6:$L$14</c:f>
                <c:numCache>
                  <c:formatCode>General</c:formatCode>
                  <c:ptCount val="9"/>
                  <c:pt idx="0">
                    <c:v>1.6887094367447474E-2</c:v>
                  </c:pt>
                  <c:pt idx="1">
                    <c:v>1.8375590066406506E-2</c:v>
                  </c:pt>
                  <c:pt idx="2">
                    <c:v>3.6658596435463792E-2</c:v>
                  </c:pt>
                  <c:pt idx="3">
                    <c:v>6.1855844044359537E-2</c:v>
                  </c:pt>
                  <c:pt idx="4">
                    <c:v>9.2694514632489816E-2</c:v>
                  </c:pt>
                  <c:pt idx="5">
                    <c:v>0.13181982093466216</c:v>
                  </c:pt>
                  <c:pt idx="6">
                    <c:v>0.24655864870955499</c:v>
                  </c:pt>
                  <c:pt idx="7">
                    <c:v>0.18085843033046697</c:v>
                  </c:pt>
                  <c:pt idx="8">
                    <c:v>0.30326751926355172</c:v>
                  </c:pt>
                </c:numCache>
              </c:numRef>
            </c:plus>
            <c:minus>
              <c:numRef>
                <c:f>Sheet1!$L$6:$L$14</c:f>
                <c:numCache>
                  <c:formatCode>General</c:formatCode>
                  <c:ptCount val="9"/>
                  <c:pt idx="0">
                    <c:v>1.6887094367447474E-2</c:v>
                  </c:pt>
                  <c:pt idx="1">
                    <c:v>1.8375590066406506E-2</c:v>
                  </c:pt>
                  <c:pt idx="2">
                    <c:v>3.6658596435463792E-2</c:v>
                  </c:pt>
                  <c:pt idx="3">
                    <c:v>6.1855844044359537E-2</c:v>
                  </c:pt>
                  <c:pt idx="4">
                    <c:v>9.2694514632489816E-2</c:v>
                  </c:pt>
                  <c:pt idx="5">
                    <c:v>0.13181982093466216</c:v>
                  </c:pt>
                  <c:pt idx="6">
                    <c:v>0.24655864870955499</c:v>
                  </c:pt>
                  <c:pt idx="7">
                    <c:v>0.18085843033046697</c:v>
                  </c:pt>
                  <c:pt idx="8">
                    <c:v>0.30326751926355172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Sheet1!$H$6:$H$14</c:f>
                <c:numCache>
                  <c:formatCode>General</c:formatCode>
                  <c:ptCount val="9"/>
                  <c:pt idx="0">
                    <c:v>5.6249999999999998E-5</c:v>
                  </c:pt>
                  <c:pt idx="1">
                    <c:v>1E-4</c:v>
                  </c:pt>
                  <c:pt idx="2">
                    <c:v>2.2499999999999999E-4</c:v>
                  </c:pt>
                  <c:pt idx="3">
                    <c:v>4.0000000000000002E-4</c:v>
                  </c:pt>
                  <c:pt idx="4">
                    <c:v>6.2500000000000001E-4</c:v>
                  </c:pt>
                  <c:pt idx="5">
                    <c:v>8.9999999999999998E-4</c:v>
                  </c:pt>
                  <c:pt idx="6">
                    <c:v>1.6000000000000001E-3</c:v>
                  </c:pt>
                  <c:pt idx="7">
                    <c:v>1.2744899999999999E-3</c:v>
                  </c:pt>
                  <c:pt idx="8">
                    <c:v>2.0250000000000003E-3</c:v>
                  </c:pt>
                </c:numCache>
              </c:numRef>
            </c:plus>
            <c:minus>
              <c:numRef>
                <c:f>Sheet1!$H$6:$H$14</c:f>
                <c:numCache>
                  <c:formatCode>General</c:formatCode>
                  <c:ptCount val="9"/>
                  <c:pt idx="0">
                    <c:v>5.6249999999999998E-5</c:v>
                  </c:pt>
                  <c:pt idx="1">
                    <c:v>1E-4</c:v>
                  </c:pt>
                  <c:pt idx="2">
                    <c:v>2.2499999999999999E-4</c:v>
                  </c:pt>
                  <c:pt idx="3">
                    <c:v>4.0000000000000002E-4</c:v>
                  </c:pt>
                  <c:pt idx="4">
                    <c:v>6.2500000000000001E-4</c:v>
                  </c:pt>
                  <c:pt idx="5">
                    <c:v>8.9999999999999998E-4</c:v>
                  </c:pt>
                  <c:pt idx="6">
                    <c:v>1.6000000000000001E-3</c:v>
                  </c:pt>
                  <c:pt idx="7">
                    <c:v>1.2744899999999999E-3</c:v>
                  </c:pt>
                  <c:pt idx="8">
                    <c:v>2.0250000000000003E-3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Sheet1!$H$16:$H$24</c:f>
              <c:numCache>
                <c:formatCode>General</c:formatCode>
                <c:ptCount val="9"/>
                <c:pt idx="0">
                  <c:v>5.6249999999999998E-3</c:v>
                </c:pt>
                <c:pt idx="1">
                  <c:v>1.0000000000000002E-2</c:v>
                </c:pt>
                <c:pt idx="2">
                  <c:v>2.2499999999999999E-2</c:v>
                </c:pt>
                <c:pt idx="3">
                  <c:v>4.0000000000000008E-2</c:v>
                </c:pt>
                <c:pt idx="4">
                  <c:v>6.25E-2</c:v>
                </c:pt>
                <c:pt idx="5">
                  <c:v>0.09</c:v>
                </c:pt>
                <c:pt idx="6">
                  <c:v>0.16000000000000003</c:v>
                </c:pt>
                <c:pt idx="7">
                  <c:v>0.12744899999999998</c:v>
                </c:pt>
                <c:pt idx="8">
                  <c:v>0.20250000000000001</c:v>
                </c:pt>
              </c:numCache>
            </c:numRef>
          </c:xVal>
          <c:yVal>
            <c:numRef>
              <c:f>Sheet1!$N$16:$N$24</c:f>
              <c:numCache>
                <c:formatCode>General</c:formatCode>
                <c:ptCount val="9"/>
                <c:pt idx="0">
                  <c:v>0.75392795558200143</c:v>
                </c:pt>
                <c:pt idx="1">
                  <c:v>1.2761994094865592</c:v>
                </c:pt>
                <c:pt idx="2">
                  <c:v>2.4886033034778716</c:v>
                </c:pt>
                <c:pt idx="3">
                  <c:v>4.325441177668214</c:v>
                </c:pt>
                <c:pt idx="4">
                  <c:v>6.3525778436173042</c:v>
                </c:pt>
                <c:pt idx="5">
                  <c:v>9.09947139809681</c:v>
                </c:pt>
                <c:pt idx="6">
                  <c:v>15.525536893724539</c:v>
                </c:pt>
                <c:pt idx="7">
                  <c:v>12.455880172223127</c:v>
                </c:pt>
                <c:pt idx="8">
                  <c:v>19.740484770475184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320896"/>
        <c:axId val="1909315456"/>
      </c:scatterChart>
      <c:valAx>
        <c:axId val="190932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50" b="0" i="0" baseline="0">
                    <a:effectLst/>
                  </a:rPr>
                  <a:t>Radius^2 (cm^2)</a:t>
                </a:r>
                <a:endParaRPr lang="zh-CN" altLang="zh-CN" sz="500">
                  <a:effectLst/>
                </a:endParaRPr>
              </a:p>
            </c:rich>
          </c:tx>
          <c:layout>
            <c:manualLayout>
              <c:xMode val="edge"/>
              <c:yMode val="edge"/>
              <c:x val="0.82596239350207412"/>
              <c:y val="0.936466531609865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315456"/>
        <c:crosses val="autoZero"/>
        <c:crossBetween val="midCat"/>
      </c:valAx>
      <c:valAx>
        <c:axId val="1909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v/(</a:t>
                </a:r>
                <a:r>
                  <a:rPr lang="el-GR" altLang="zh-CN" sz="1000" b="0" i="0" u="none" strike="noStrike" baseline="0">
                    <a:effectLst/>
                  </a:rPr>
                  <a:t>ρ</a:t>
                </a:r>
                <a:r>
                  <a:rPr lang="en-US" altLang="zh-CN" sz="1000" b="0" i="0" u="none" strike="noStrike" baseline="0">
                    <a:effectLst/>
                  </a:rPr>
                  <a:t>_k - </a:t>
                </a:r>
                <a:r>
                  <a:rPr lang="el-GR" altLang="zh-CN" sz="1000" b="0" i="0" u="none" strike="noStrike" baseline="0">
                    <a:effectLst/>
                  </a:rPr>
                  <a:t>ρ</a:t>
                </a:r>
                <a:r>
                  <a:rPr lang="en-US" altLang="zh-CN" sz="1000" b="0" i="0" u="none" strike="noStrike" baseline="0">
                    <a:effectLst/>
                  </a:rPr>
                  <a:t>_f)(cm^4/(s*g))</a:t>
                </a:r>
              </a:p>
            </c:rich>
          </c:tx>
          <c:layout>
            <c:manualLayout>
              <c:xMode val="edge"/>
              <c:yMode val="edge"/>
              <c:x val="1.1293317843466289E-2"/>
              <c:y val="8.151699556074008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320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Abbildung 2: Volumänderung</a:t>
            </a:r>
            <a:r>
              <a:rPr lang="en-US" altLang="zh-CN" sz="1200" baseline="0"/>
              <a:t> mit der Zeit</a:t>
            </a:r>
          </a:p>
        </c:rich>
      </c:tx>
      <c:layout>
        <c:manualLayout>
          <c:xMode val="edge"/>
          <c:yMode val="edge"/>
          <c:x val="0.18238858604212935"/>
          <c:y val="4.98444474101754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218460207268797"/>
          <c:y val="0.14780571793861519"/>
          <c:w val="0.82578326357853915"/>
          <c:h val="0.6538546355830533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2712788139445265E-2"/>
                  <c:y val="-2.98431096465451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9.0734545143264345E-2"/>
                  <c:y val="2.9642570301669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fixedVal"/>
            <c:noEndCap val="1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1"/>
            <c:val val="0.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Sheet1!$H$37:$H$41</c:f>
              <c:numCache>
                <c:formatCode>General</c:formatCode>
                <c:ptCount val="5"/>
                <c:pt idx="0">
                  <c:v>121</c:v>
                </c:pt>
                <c:pt idx="1">
                  <c:v>268</c:v>
                </c:pt>
                <c:pt idx="2">
                  <c:v>402</c:v>
                </c:pt>
                <c:pt idx="3">
                  <c:v>539</c:v>
                </c:pt>
                <c:pt idx="4">
                  <c:v>670</c:v>
                </c:pt>
              </c:numCache>
            </c:numRef>
          </c:xVal>
          <c:yVal>
            <c:numRef>
              <c:f>Sheet1!$I$37:$I$41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9317632"/>
        <c:axId val="1909318720"/>
      </c:scatterChart>
      <c:valAx>
        <c:axId val="1909317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zh-CN"/>
                  <a:t>t(s)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8955682414698164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318720"/>
        <c:crosses val="autoZero"/>
        <c:crossBetween val="midCat"/>
      </c:valAx>
      <c:valAx>
        <c:axId val="190931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altLang="zh-CN"/>
                  <a:t>V(cm^3)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6.5414036160367575E-3"/>
              <c:y val="7.64613972805416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9317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Abbildung</a:t>
            </a:r>
            <a:r>
              <a:rPr lang="en-US" altLang="zh-CN" baseline="0"/>
              <a:t> : v/v_lam gegen log Re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2791776027996496E-2"/>
          <c:y val="0.17171296296296296"/>
          <c:w val="0.89787489063867021"/>
          <c:h val="0.724568022747156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7514326334208222"/>
                  <c:y val="-3.657699037620297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errBars>
            <c:errDir val="x"/>
            <c:errBarType val="both"/>
            <c:errValType val="cust"/>
            <c:noEndCap val="1"/>
            <c:plus>
              <c:numRef>
                <c:f>Sheet1!$K$26:$K$34</c:f>
                <c:numCache>
                  <c:formatCode>General</c:formatCode>
                  <c:ptCount val="9"/>
                  <c:pt idx="0">
                    <c:v>4.2023925478733211E-4</c:v>
                  </c:pt>
                  <c:pt idx="1">
                    <c:v>7.9493032244148259E-4</c:v>
                  </c:pt>
                  <c:pt idx="2">
                    <c:v>2.2793217474016531E-3</c:v>
                  </c:pt>
                  <c:pt idx="3">
                    <c:v>5.107089858686604E-3</c:v>
                  </c:pt>
                  <c:pt idx="4">
                    <c:v>9.1951759975187394E-3</c:v>
                  </c:pt>
                  <c:pt idx="5">
                    <c:v>1.5394429698903664E-2</c:v>
                  </c:pt>
                  <c:pt idx="6">
                    <c:v>3.0655622916455603E-2</c:v>
                  </c:pt>
                  <c:pt idx="7">
                    <c:v>2.4422161426919286E-2</c:v>
                  </c:pt>
                  <c:pt idx="8">
                    <c:v>4.3698632686857704E-2</c:v>
                  </c:pt>
                </c:numCache>
              </c:numRef>
            </c:plus>
            <c:minus>
              <c:numRef>
                <c:f>Sheet1!$K$26:$K$34</c:f>
                <c:numCache>
                  <c:formatCode>General</c:formatCode>
                  <c:ptCount val="9"/>
                  <c:pt idx="0">
                    <c:v>4.2023925478733211E-4</c:v>
                  </c:pt>
                  <c:pt idx="1">
                    <c:v>7.9493032244148259E-4</c:v>
                  </c:pt>
                  <c:pt idx="2">
                    <c:v>2.2793217474016531E-3</c:v>
                  </c:pt>
                  <c:pt idx="3">
                    <c:v>5.107089858686604E-3</c:v>
                  </c:pt>
                  <c:pt idx="4">
                    <c:v>9.1951759975187394E-3</c:v>
                  </c:pt>
                  <c:pt idx="5">
                    <c:v>1.5394429698903664E-2</c:v>
                  </c:pt>
                  <c:pt idx="6">
                    <c:v>3.0655622916455603E-2</c:v>
                  </c:pt>
                  <c:pt idx="7">
                    <c:v>2.4422161426919286E-2</c:v>
                  </c:pt>
                  <c:pt idx="8">
                    <c:v>4.3698632686857704E-2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1"/>
            <c:plus>
              <c:numRef>
                <c:f>Sheet1!$M$26:$M$34</c:f>
                <c:numCache>
                  <c:formatCode>General</c:formatCode>
                  <c:ptCount val="9"/>
                  <c:pt idx="0">
                    <c:v>4.737441421058184E-2</c:v>
                  </c:pt>
                  <c:pt idx="1">
                    <c:v>3.9181787091336844E-2</c:v>
                  </c:pt>
                  <c:pt idx="2">
                    <c:v>3.3236713152004535E-2</c:v>
                  </c:pt>
                  <c:pt idx="3">
                    <c:v>3.1481191871580633E-2</c:v>
                  </c:pt>
                  <c:pt idx="4">
                    <c:v>2.8981743932934536E-2</c:v>
                  </c:pt>
                  <c:pt idx="5">
                    <c:v>2.8093632432714975E-2</c:v>
                  </c:pt>
                  <c:pt idx="6">
                    <c:v>2.6255821210018501E-2</c:v>
                  </c:pt>
                  <c:pt idx="7">
                    <c:v>2.6444294132406787E-2</c:v>
                  </c:pt>
                  <c:pt idx="8">
                    <c:v>2.55872156361053E-2</c:v>
                  </c:pt>
                </c:numCache>
              </c:numRef>
            </c:plus>
            <c:minus>
              <c:numRef>
                <c:f>Sheet1!$M$26:$M$34</c:f>
                <c:numCache>
                  <c:formatCode>General</c:formatCode>
                  <c:ptCount val="9"/>
                  <c:pt idx="0">
                    <c:v>4.737441421058184E-2</c:v>
                  </c:pt>
                  <c:pt idx="1">
                    <c:v>3.9181787091336844E-2</c:v>
                  </c:pt>
                  <c:pt idx="2">
                    <c:v>3.3236713152004535E-2</c:v>
                  </c:pt>
                  <c:pt idx="3">
                    <c:v>3.1481191871580633E-2</c:v>
                  </c:pt>
                  <c:pt idx="4">
                    <c:v>2.8981743932934536E-2</c:v>
                  </c:pt>
                  <c:pt idx="5">
                    <c:v>2.8093632432714975E-2</c:v>
                  </c:pt>
                  <c:pt idx="6">
                    <c:v>2.6255821210018501E-2</c:v>
                  </c:pt>
                  <c:pt idx="7">
                    <c:v>2.6444294132406787E-2</c:v>
                  </c:pt>
                  <c:pt idx="8">
                    <c:v>2.55872156361053E-2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Sheet1!$J$26:$J$34</c:f>
              <c:numCache>
                <c:formatCode>General</c:formatCode>
                <c:ptCount val="9"/>
                <c:pt idx="0">
                  <c:v>1.2926276074381932E-2</c:v>
                </c:pt>
                <c:pt idx="1">
                  <c:v>2.878754677792187E-2</c:v>
                </c:pt>
                <c:pt idx="2">
                  <c:v>8.2029050713923093E-2</c:v>
                </c:pt>
                <c:pt idx="3">
                  <c:v>0.18531290078445881</c:v>
                </c:pt>
                <c:pt idx="4">
                  <c:v>0.33184493124712222</c:v>
                </c:pt>
                <c:pt idx="5">
                  <c:v>0.55672998378735616</c:v>
                </c:pt>
                <c:pt idx="6">
                  <c:v>1.1036681186173636</c:v>
                </c:pt>
                <c:pt idx="7">
                  <c:v>0.88275539636185774</c:v>
                </c:pt>
                <c:pt idx="8">
                  <c:v>1.5800806627733346</c:v>
                </c:pt>
              </c:numCache>
            </c:numRef>
          </c:xVal>
          <c:yVal>
            <c:numRef>
              <c:f>Sheet1!$L$26:$L$34</c:f>
              <c:numCache>
                <c:formatCode>General</c:formatCode>
                <c:ptCount val="9"/>
                <c:pt idx="0">
                  <c:v>1.309915151818374</c:v>
                </c:pt>
                <c:pt idx="1">
                  <c:v>1.2307169596102674</c:v>
                </c:pt>
                <c:pt idx="2">
                  <c:v>1.0390762950707697</c:v>
                </c:pt>
                <c:pt idx="3">
                  <c:v>0.99030551122248234</c:v>
                </c:pt>
                <c:pt idx="4">
                  <c:v>0.90796412878865007</c:v>
                </c:pt>
                <c:pt idx="5">
                  <c:v>0.88152447802615397</c:v>
                </c:pt>
                <c:pt idx="6">
                  <c:v>0.80732572510787171</c:v>
                </c:pt>
                <c:pt idx="7">
                  <c:v>0.82944818554729127</c:v>
                </c:pt>
                <c:pt idx="8">
                  <c:v>0.79292483644009837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645392"/>
        <c:axId val="1912114000"/>
      </c:scatterChart>
      <c:valAx>
        <c:axId val="1735645392"/>
        <c:scaling>
          <c:logBase val="10"/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Re</a:t>
                </a:r>
              </a:p>
            </c:rich>
          </c:tx>
          <c:layout>
            <c:manualLayout>
              <c:xMode val="edge"/>
              <c:yMode val="edge"/>
              <c:x val="0.87811111111111106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12114000"/>
        <c:crosses val="autoZero"/>
        <c:crossBetween val="midCat"/>
      </c:valAx>
      <c:valAx>
        <c:axId val="19121140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v/v_lam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1.6666666666666666E-2"/>
              <c:y val="0.145710119568387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564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51</xdr:row>
      <xdr:rowOff>0</xdr:rowOff>
    </xdr:from>
    <xdr:to>
      <xdr:col>15</xdr:col>
      <xdr:colOff>180974</xdr:colOff>
      <xdr:row>77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50</xdr:row>
      <xdr:rowOff>19049</xdr:rowOff>
    </xdr:from>
    <xdr:to>
      <xdr:col>6</xdr:col>
      <xdr:colOff>323850</xdr:colOff>
      <xdr:row>73</xdr:row>
      <xdr:rowOff>142874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28575</xdr:colOff>
      <xdr:row>34</xdr:row>
      <xdr:rowOff>42862</xdr:rowOff>
    </xdr:from>
    <xdr:to>
      <xdr:col>11</xdr:col>
      <xdr:colOff>704850</xdr:colOff>
      <xdr:row>50</xdr:row>
      <xdr:rowOff>33337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0.79375</cdr:x>
      <cdr:y>0.42882</cdr:y>
    </cdr:from>
    <cdr:to>
      <cdr:x>0.89375</cdr:x>
      <cdr:y>0.52257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3629025" y="1176327"/>
          <a:ext cx="45720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/>
            <a:t>Knick</a:t>
          </a:r>
          <a:endParaRPr lang="zh-CN" altLang="en-US" sz="1100"/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B1" workbookViewId="0">
      <selection activeCell="H26" sqref="H26"/>
    </sheetView>
  </sheetViews>
  <sheetFormatPr defaultRowHeight="13.5" x14ac:dyDescent="0.15"/>
  <cols>
    <col min="1" max="1" width="6.625" customWidth="1"/>
    <col min="2" max="2" width="8.625" customWidth="1"/>
    <col min="3" max="3" width="8.5" customWidth="1"/>
    <col min="4" max="4" width="7.5" customWidth="1"/>
    <col min="7" max="7" width="11.375" customWidth="1"/>
    <col min="9" max="9" width="12.75" bestFit="1" customWidth="1"/>
    <col min="12" max="12" width="10.25" customWidth="1"/>
    <col min="13" max="13" width="9.25" customWidth="1"/>
    <col min="14" max="14" width="10.875" customWidth="1"/>
    <col min="17" max="17" width="11.625" bestFit="1" customWidth="1"/>
  </cols>
  <sheetData>
    <row r="1" spans="1:14" x14ac:dyDescent="0.15">
      <c r="A1" s="7" t="s">
        <v>26</v>
      </c>
      <c r="B1" s="8" t="s">
        <v>0</v>
      </c>
      <c r="C1" s="8" t="s">
        <v>1</v>
      </c>
      <c r="D1" s="9" t="s">
        <v>2</v>
      </c>
      <c r="E1" s="8" t="s">
        <v>3</v>
      </c>
      <c r="F1" s="10" t="s">
        <v>17</v>
      </c>
      <c r="G1" s="32" t="s">
        <v>20</v>
      </c>
      <c r="H1" s="18" t="s">
        <v>19</v>
      </c>
    </row>
    <row r="2" spans="1:14" ht="14.25" thickBot="1" x14ac:dyDescent="0.2">
      <c r="A2" s="11">
        <v>5</v>
      </c>
      <c r="B2" s="5">
        <v>33.24</v>
      </c>
      <c r="C2" s="5">
        <v>32.729999999999997</v>
      </c>
      <c r="D2" s="5">
        <f t="shared" ref="D2:D47" si="0" xml:space="preserve"> (B2 + C2) / 2</f>
        <v>32.984999999999999</v>
      </c>
      <c r="E2" s="2">
        <f t="shared" ref="E2:E47" si="1" xml:space="preserve"> A2 / D2</f>
        <v>0.15158405335758679</v>
      </c>
      <c r="F2" s="12">
        <f xml:space="preserve"> SQRT(($G$2/D2)^2+(A2*$H$2/D2^2)^2)</f>
        <v>6.0974005480595554E-3</v>
      </c>
      <c r="G2" s="33">
        <v>0.2</v>
      </c>
      <c r="H2" s="17">
        <v>0.14000000000000001</v>
      </c>
    </row>
    <row r="3" spans="1:14" x14ac:dyDescent="0.15">
      <c r="A3" s="11">
        <v>5</v>
      </c>
      <c r="B3" s="5">
        <v>28.73</v>
      </c>
      <c r="C3" s="5">
        <v>28.18</v>
      </c>
      <c r="D3" s="5">
        <f t="shared" si="0"/>
        <v>28.454999999999998</v>
      </c>
      <c r="E3" s="2">
        <f t="shared" si="1"/>
        <v>0.17571604287471448</v>
      </c>
      <c r="F3" s="12">
        <f t="shared" ref="F3:F47" si="2" xml:space="preserve"> SQRT(($G$2/D3)^2+(A3*$H$2/D3^2)^2)</f>
        <v>7.0816113423448398E-3</v>
      </c>
      <c r="G3" s="23"/>
      <c r="H3" s="23"/>
      <c r="I3" s="30" t="s">
        <v>14</v>
      </c>
      <c r="J3" s="27" t="s">
        <v>15</v>
      </c>
      <c r="K3" s="27" t="s">
        <v>18</v>
      </c>
      <c r="L3" s="31"/>
    </row>
    <row r="4" spans="1:14" ht="14.25" thickBot="1" x14ac:dyDescent="0.2">
      <c r="A4" s="11">
        <v>5</v>
      </c>
      <c r="B4" s="5">
        <v>27.73</v>
      </c>
      <c r="C4" s="5">
        <v>29.18</v>
      </c>
      <c r="D4" s="5">
        <f t="shared" si="0"/>
        <v>28.454999999999998</v>
      </c>
      <c r="E4" s="2">
        <f t="shared" si="1"/>
        <v>0.17571604287471448</v>
      </c>
      <c r="F4" s="12">
        <f t="shared" si="2"/>
        <v>7.0816113423448398E-3</v>
      </c>
      <c r="G4" s="23"/>
      <c r="H4" s="23"/>
      <c r="I4" s="19">
        <v>3.0000000000000001E-3</v>
      </c>
      <c r="J4" s="22">
        <v>5.9999999999999995E-4</v>
      </c>
      <c r="K4" s="22">
        <f xml:space="preserve"> SQRT($I$4^2 + $J$4^2)</f>
        <v>3.059411708155671E-3</v>
      </c>
      <c r="L4" s="17"/>
    </row>
    <row r="5" spans="1:14" x14ac:dyDescent="0.15">
      <c r="A5" s="11">
        <v>5</v>
      </c>
      <c r="B5" s="5">
        <v>30.24</v>
      </c>
      <c r="C5" s="5">
        <v>30.5</v>
      </c>
      <c r="D5" s="5">
        <f t="shared" si="0"/>
        <v>30.369999999999997</v>
      </c>
      <c r="E5" s="2">
        <f t="shared" si="1"/>
        <v>0.16463615409944024</v>
      </c>
      <c r="F5" s="12">
        <f t="shared" si="2"/>
        <v>6.6290341521106112E-3</v>
      </c>
      <c r="G5" s="32" t="s">
        <v>10</v>
      </c>
      <c r="H5" s="27" t="s">
        <v>9</v>
      </c>
      <c r="I5" s="27" t="s">
        <v>17</v>
      </c>
      <c r="J5" s="27" t="s">
        <v>22</v>
      </c>
      <c r="K5" s="28" t="s">
        <v>24</v>
      </c>
      <c r="L5" s="29" t="s">
        <v>25</v>
      </c>
    </row>
    <row r="6" spans="1:14" x14ac:dyDescent="0.15">
      <c r="A6" s="11">
        <v>5</v>
      </c>
      <c r="B6" s="5">
        <v>30.06</v>
      </c>
      <c r="C6" s="5">
        <v>30.23</v>
      </c>
      <c r="D6" s="5">
        <f t="shared" si="0"/>
        <v>30.145</v>
      </c>
      <c r="E6" s="2">
        <f t="shared" si="1"/>
        <v>0.16586498590147619</v>
      </c>
      <c r="F6" s="12">
        <f t="shared" si="2"/>
        <v>6.6791685441363637E-3</v>
      </c>
      <c r="G6" s="6">
        <f t="shared" ref="G6:G14" si="3">G16*0.005</f>
        <v>3.7500000000000001E-4</v>
      </c>
      <c r="H6" s="3">
        <f t="shared" ref="H6:H14" si="4" xml:space="preserve"> 2*G16*G6</f>
        <v>5.6249999999999998E-5</v>
      </c>
      <c r="I6" s="3">
        <f>SQRT(F2^2+F3^2+F4^2+F5^2+F6^2)/5</f>
        <v>3.0068729143903684E-3</v>
      </c>
      <c r="J6" s="3">
        <f t="shared" ref="J6:J14" si="5">SQRT((I6/(I16-J16))^2+($K$4*K16/(I16-J16)^2)^2)</f>
        <v>1.6205768514010774E-2</v>
      </c>
      <c r="K6" s="3">
        <f t="shared" ref="K6:K14" si="6">2.1*G6/$N$14</f>
        <v>2.1000000000000001E-4</v>
      </c>
      <c r="L6" s="12">
        <f t="shared" ref="L6:L14" si="7">SQRT((K6*L16)^2+(J6*M16)^2)</f>
        <v>1.6887094367447474E-2</v>
      </c>
    </row>
    <row r="7" spans="1:14" x14ac:dyDescent="0.15">
      <c r="A7" s="13">
        <v>15</v>
      </c>
      <c r="B7" s="5">
        <v>49.54</v>
      </c>
      <c r="C7" s="5">
        <v>49.56</v>
      </c>
      <c r="D7" s="5">
        <f t="shared" si="0"/>
        <v>49.55</v>
      </c>
      <c r="E7" s="2">
        <f t="shared" si="1"/>
        <v>0.30272452068617561</v>
      </c>
      <c r="F7" s="12">
        <f t="shared" si="2"/>
        <v>4.1259567102252112E-3</v>
      </c>
      <c r="G7" s="6">
        <f t="shared" si="3"/>
        <v>5.0000000000000001E-4</v>
      </c>
      <c r="H7" s="3">
        <f t="shared" si="4"/>
        <v>1E-4</v>
      </c>
      <c r="I7" s="3">
        <f>SQRT(F7^2+F8^2+F9^2+F10^2+F11^2+F12^2)/6</f>
        <v>1.5485056040995648E-3</v>
      </c>
      <c r="J7" s="3">
        <f t="shared" si="5"/>
        <v>1.7398176244160676E-2</v>
      </c>
      <c r="K7" s="3">
        <f t="shared" si="6"/>
        <v>2.8000000000000003E-4</v>
      </c>
      <c r="L7" s="12">
        <f t="shared" si="7"/>
        <v>1.8375590066406506E-2</v>
      </c>
    </row>
    <row r="8" spans="1:14" x14ac:dyDescent="0.15">
      <c r="A8" s="13">
        <v>15</v>
      </c>
      <c r="B8" s="5">
        <v>48.84</v>
      </c>
      <c r="C8" s="5">
        <v>49.28</v>
      </c>
      <c r="D8" s="5">
        <f t="shared" si="0"/>
        <v>49.06</v>
      </c>
      <c r="E8" s="2">
        <f t="shared" si="1"/>
        <v>0.3057480635955972</v>
      </c>
      <c r="F8" s="12">
        <f t="shared" si="2"/>
        <v>4.1689630060557561E-3</v>
      </c>
      <c r="G8" s="6">
        <f t="shared" si="3"/>
        <v>7.5000000000000002E-4</v>
      </c>
      <c r="H8" s="3">
        <f t="shared" si="4"/>
        <v>2.2499999999999999E-4</v>
      </c>
      <c r="I8" s="3">
        <f>SQRT(F17^2+F13^2+F14^2+F15^2+F16^2)/5</f>
        <v>3.3668538145842676E-3</v>
      </c>
      <c r="J8" s="3">
        <f t="shared" si="5"/>
        <v>3.3806193241817419E-2</v>
      </c>
      <c r="K8" s="3">
        <f t="shared" si="6"/>
        <v>4.2000000000000002E-4</v>
      </c>
      <c r="L8" s="12">
        <f t="shared" si="7"/>
        <v>3.6658596435463792E-2</v>
      </c>
    </row>
    <row r="9" spans="1:14" x14ac:dyDescent="0.15">
      <c r="A9" s="13">
        <v>15</v>
      </c>
      <c r="B9" s="5">
        <v>56.21</v>
      </c>
      <c r="C9" s="5">
        <v>56.45</v>
      </c>
      <c r="D9" s="5">
        <f t="shared" si="0"/>
        <v>56.33</v>
      </c>
      <c r="E9" s="2">
        <f t="shared" si="1"/>
        <v>0.2662879460323096</v>
      </c>
      <c r="F9" s="12">
        <f t="shared" si="2"/>
        <v>3.6116613907089096E-3</v>
      </c>
      <c r="G9" s="6">
        <f t="shared" si="3"/>
        <v>1E-3</v>
      </c>
      <c r="H9" s="3">
        <f t="shared" si="4"/>
        <v>4.0000000000000002E-4</v>
      </c>
      <c r="I9" s="3">
        <f>SQRT(F18^2+F19^2+F20^2+F21^2+F22^2)/5</f>
        <v>4.7360136896441082E-3</v>
      </c>
      <c r="J9" s="3">
        <f t="shared" si="5"/>
        <v>5.5591256856590082E-2</v>
      </c>
      <c r="K9" s="3">
        <f t="shared" si="6"/>
        <v>5.6000000000000006E-4</v>
      </c>
      <c r="L9" s="12">
        <f t="shared" si="7"/>
        <v>6.1855844044359537E-2</v>
      </c>
    </row>
    <row r="10" spans="1:14" x14ac:dyDescent="0.15">
      <c r="A10" s="13">
        <v>15</v>
      </c>
      <c r="B10" s="5">
        <v>54.07</v>
      </c>
      <c r="C10" s="5">
        <v>54.32</v>
      </c>
      <c r="D10" s="5">
        <f t="shared" si="0"/>
        <v>54.195</v>
      </c>
      <c r="E10" s="2">
        <f t="shared" si="1"/>
        <v>0.27677830058123443</v>
      </c>
      <c r="F10" s="12">
        <f t="shared" si="2"/>
        <v>3.7590022219985684E-3</v>
      </c>
      <c r="G10" s="6">
        <f t="shared" si="3"/>
        <v>1.25E-3</v>
      </c>
      <c r="H10" s="3">
        <f t="shared" si="4"/>
        <v>6.2500000000000001E-4</v>
      </c>
      <c r="I10" s="3">
        <f>SQRT(F27^2+F23^2+F24^2+F25^2+F26^2)/5</f>
        <v>7.7263125553996143E-3</v>
      </c>
      <c r="J10" s="3">
        <f t="shared" si="5"/>
        <v>8.1238951650964619E-2</v>
      </c>
      <c r="K10" s="3">
        <f t="shared" si="6"/>
        <v>6.9999999999999999E-4</v>
      </c>
      <c r="L10" s="12">
        <f t="shared" si="7"/>
        <v>9.2694514632489816E-2</v>
      </c>
    </row>
    <row r="11" spans="1:14" x14ac:dyDescent="0.15">
      <c r="A11" s="13">
        <v>15</v>
      </c>
      <c r="B11" s="5">
        <v>57.87</v>
      </c>
      <c r="C11" s="5">
        <v>57.89</v>
      </c>
      <c r="D11" s="5">
        <f t="shared" si="0"/>
        <v>57.879999999999995</v>
      </c>
      <c r="E11" s="2">
        <f t="shared" si="1"/>
        <v>0.25915687629578438</v>
      </c>
      <c r="F11" s="12">
        <f t="shared" si="2"/>
        <v>3.5118229560571067E-3</v>
      </c>
      <c r="G11" s="6">
        <f t="shared" si="3"/>
        <v>1.5E-3</v>
      </c>
      <c r="H11" s="3">
        <f t="shared" si="4"/>
        <v>8.9999999999999998E-4</v>
      </c>
      <c r="I11" s="3">
        <f>SQRT(F28^2+F29^2+F30^2+F31^2+F32^2)/5</f>
        <v>1.0314209664175766E-2</v>
      </c>
      <c r="J11" s="3">
        <f t="shared" si="5"/>
        <v>0.11272027410531717</v>
      </c>
      <c r="K11" s="3">
        <f t="shared" si="6"/>
        <v>8.4000000000000003E-4</v>
      </c>
      <c r="L11" s="12">
        <f t="shared" si="7"/>
        <v>0.13181982093466216</v>
      </c>
    </row>
    <row r="12" spans="1:14" ht="14.25" thickBot="1" x14ac:dyDescent="0.2">
      <c r="A12" s="13">
        <v>15</v>
      </c>
      <c r="B12" s="5">
        <v>57.75</v>
      </c>
      <c r="C12" s="5">
        <v>57.65</v>
      </c>
      <c r="D12" s="5">
        <f t="shared" si="0"/>
        <v>57.7</v>
      </c>
      <c r="E12" s="2">
        <f t="shared" si="1"/>
        <v>0.25996533795493931</v>
      </c>
      <c r="F12" s="12">
        <f t="shared" si="2"/>
        <v>3.5231290512934845E-3</v>
      </c>
      <c r="G12" s="6">
        <f t="shared" si="3"/>
        <v>2E-3</v>
      </c>
      <c r="H12" s="3">
        <f t="shared" si="4"/>
        <v>1.6000000000000001E-3</v>
      </c>
      <c r="I12" s="3">
        <f>SQRT(F33^2+F34^2+F35^2+F36^2+F37^2)/5</f>
        <v>1.6863009963933202E-2</v>
      </c>
      <c r="J12" s="3">
        <f t="shared" si="5"/>
        <v>0.20110215073717008</v>
      </c>
      <c r="K12" s="3">
        <f t="shared" si="6"/>
        <v>1.1200000000000001E-3</v>
      </c>
      <c r="L12" s="12">
        <f t="shared" si="7"/>
        <v>0.24655864870955499</v>
      </c>
    </row>
    <row r="13" spans="1:14" x14ac:dyDescent="0.15">
      <c r="A13" s="13">
        <v>15</v>
      </c>
      <c r="B13" s="5">
        <v>27.42</v>
      </c>
      <c r="C13" s="5">
        <v>27.46</v>
      </c>
      <c r="D13" s="5">
        <f t="shared" si="0"/>
        <v>27.44</v>
      </c>
      <c r="E13" s="2">
        <f t="shared" si="1"/>
        <v>0.54664723032069973</v>
      </c>
      <c r="F13" s="12">
        <f t="shared" si="2"/>
        <v>7.8040205269159042E-3</v>
      </c>
      <c r="G13" s="6">
        <f t="shared" si="3"/>
        <v>1.7849999999999999E-3</v>
      </c>
      <c r="H13" s="3">
        <f t="shared" si="4"/>
        <v>1.2744899999999999E-3</v>
      </c>
      <c r="I13" s="3">
        <f>SQRT(F38^2+F39^2+F40^2+F41^2+F42^2)/5</f>
        <v>1.3906885642793212E-2</v>
      </c>
      <c r="J13" s="3">
        <f t="shared" si="5"/>
        <v>0.15047713165410681</v>
      </c>
      <c r="K13" s="3">
        <f t="shared" si="6"/>
        <v>9.9960000000000001E-4</v>
      </c>
      <c r="L13" s="12">
        <f t="shared" si="7"/>
        <v>0.18085843033046697</v>
      </c>
      <c r="N13" s="20" t="s">
        <v>23</v>
      </c>
    </row>
    <row r="14" spans="1:14" ht="14.25" thickBot="1" x14ac:dyDescent="0.2">
      <c r="A14" s="13">
        <v>15</v>
      </c>
      <c r="B14" s="5">
        <v>26.98</v>
      </c>
      <c r="C14" s="5">
        <v>27.04</v>
      </c>
      <c r="D14" s="5">
        <f t="shared" si="0"/>
        <v>27.009999999999998</v>
      </c>
      <c r="E14" s="2">
        <f t="shared" si="1"/>
        <v>0.55534987041836359</v>
      </c>
      <c r="F14" s="12">
        <f t="shared" si="2"/>
        <v>7.944493290256642E-3</v>
      </c>
      <c r="G14" s="33">
        <f t="shared" si="3"/>
        <v>2.2500000000000003E-3</v>
      </c>
      <c r="H14" s="22">
        <f t="shared" si="4"/>
        <v>2.0250000000000003E-3</v>
      </c>
      <c r="I14" s="22">
        <f>SQRT(F43^2+F44^2+F45^2+F46^2+F47^2)/5</f>
        <v>1.9587783348646522E-2</v>
      </c>
      <c r="J14" s="22">
        <f t="shared" si="5"/>
        <v>0.24170615225706729</v>
      </c>
      <c r="K14" s="22">
        <f t="shared" si="6"/>
        <v>1.2600000000000003E-3</v>
      </c>
      <c r="L14" s="17">
        <f t="shared" si="7"/>
        <v>0.30326751926355172</v>
      </c>
      <c r="N14" s="3">
        <v>3.75</v>
      </c>
    </row>
    <row r="15" spans="1:14" x14ac:dyDescent="0.15">
      <c r="A15" s="13">
        <v>15</v>
      </c>
      <c r="B15" s="5">
        <v>29.46</v>
      </c>
      <c r="C15" s="5">
        <v>29.51</v>
      </c>
      <c r="D15" s="5">
        <f t="shared" si="0"/>
        <v>29.484999999999999</v>
      </c>
      <c r="E15" s="2">
        <f t="shared" si="1"/>
        <v>0.5087332541970494</v>
      </c>
      <c r="F15" s="12">
        <f t="shared" si="2"/>
        <v>7.2003812870221149E-3</v>
      </c>
      <c r="G15" s="34" t="s">
        <v>5</v>
      </c>
      <c r="H15" s="25" t="s">
        <v>6</v>
      </c>
      <c r="I15" s="26" t="s">
        <v>11</v>
      </c>
      <c r="J15" s="24" t="s">
        <v>12</v>
      </c>
      <c r="K15" s="24" t="s">
        <v>21</v>
      </c>
      <c r="L15" s="25" t="s">
        <v>13</v>
      </c>
      <c r="M15" s="8" t="s">
        <v>4</v>
      </c>
      <c r="N15" s="35" t="s">
        <v>16</v>
      </c>
    </row>
    <row r="16" spans="1:14" x14ac:dyDescent="0.15">
      <c r="A16" s="13">
        <v>15</v>
      </c>
      <c r="B16" s="5">
        <v>29.46</v>
      </c>
      <c r="C16" s="5">
        <v>29.58</v>
      </c>
      <c r="D16" s="5">
        <f t="shared" si="0"/>
        <v>29.52</v>
      </c>
      <c r="E16" s="2">
        <f t="shared" si="1"/>
        <v>0.50813008130081305</v>
      </c>
      <c r="F16" s="12">
        <f t="shared" si="2"/>
        <v>7.1908850997374511E-3</v>
      </c>
      <c r="G16" s="6">
        <v>7.4999999999999997E-2</v>
      </c>
      <c r="H16" s="4">
        <f t="shared" ref="H16:H24" si="8">G16^2</f>
        <v>5.6249999999999998E-3</v>
      </c>
      <c r="I16" s="3">
        <v>1.3779999999999999</v>
      </c>
      <c r="J16" s="3">
        <v>1.1476</v>
      </c>
      <c r="K16" s="3">
        <f>AVERAGE(E2:E6)</f>
        <v>0.16670345582158644</v>
      </c>
      <c r="L16" s="4">
        <f>K16/(I16-J16)</f>
        <v>0.72353930478119133</v>
      </c>
      <c r="M16" s="3">
        <f t="shared" ref="M16:M24" si="9">1+2.1*G16/$N$14</f>
        <v>1.042</v>
      </c>
      <c r="N16" s="21">
        <f>L16*M16</f>
        <v>0.75392795558200143</v>
      </c>
    </row>
    <row r="17" spans="1:15" x14ac:dyDescent="0.15">
      <c r="A17" s="13">
        <v>15</v>
      </c>
      <c r="B17" s="5">
        <v>28.81</v>
      </c>
      <c r="C17" s="5">
        <v>28.24</v>
      </c>
      <c r="D17" s="5">
        <f t="shared" si="0"/>
        <v>28.524999999999999</v>
      </c>
      <c r="E17" s="2">
        <f t="shared" si="1"/>
        <v>0.52585451358457491</v>
      </c>
      <c r="F17" s="12">
        <f t="shared" si="2"/>
        <v>7.4713175544835423E-3</v>
      </c>
      <c r="G17" s="6">
        <v>0.1</v>
      </c>
      <c r="H17" s="4">
        <f t="shared" si="8"/>
        <v>1.0000000000000002E-2</v>
      </c>
      <c r="I17" s="3">
        <v>1.3779999999999999</v>
      </c>
      <c r="J17" s="3">
        <v>1.1476</v>
      </c>
      <c r="K17" s="3">
        <f>AVERAGE(E7:E12)</f>
        <v>0.27844350752434011</v>
      </c>
      <c r="L17" s="4">
        <f t="shared" ref="L17:L24" si="10">K17/(I17-J17)</f>
        <v>1.2085221680743932</v>
      </c>
      <c r="M17" s="3">
        <f t="shared" si="9"/>
        <v>1.056</v>
      </c>
      <c r="N17" s="21">
        <f t="shared" ref="N17:N24" si="11">L17*M17</f>
        <v>1.2761994094865592</v>
      </c>
    </row>
    <row r="18" spans="1:15" x14ac:dyDescent="0.15">
      <c r="A18" s="13">
        <v>20</v>
      </c>
      <c r="B18" s="5">
        <v>22.5</v>
      </c>
      <c r="C18" s="5">
        <v>22.28</v>
      </c>
      <c r="D18" s="5">
        <f t="shared" si="0"/>
        <v>22.39</v>
      </c>
      <c r="E18" s="2">
        <f t="shared" si="1"/>
        <v>0.89325591782045555</v>
      </c>
      <c r="F18" s="12">
        <f t="shared" si="2"/>
        <v>1.0535021085104294E-2</v>
      </c>
      <c r="G18" s="6">
        <f>0.15</f>
        <v>0.15</v>
      </c>
      <c r="H18" s="4">
        <f t="shared" si="8"/>
        <v>2.2499999999999999E-2</v>
      </c>
      <c r="I18" s="3">
        <v>1.3779999999999999</v>
      </c>
      <c r="J18" s="3">
        <v>1.1476</v>
      </c>
      <c r="K18" s="3">
        <f>AVERAGE(E13:E17)</f>
        <v>0.52894298996430023</v>
      </c>
      <c r="L18" s="4">
        <f t="shared" si="10"/>
        <v>2.295759505053387</v>
      </c>
      <c r="M18" s="3">
        <f t="shared" si="9"/>
        <v>1.0840000000000001</v>
      </c>
      <c r="N18" s="21">
        <f t="shared" si="11"/>
        <v>2.4886033034778716</v>
      </c>
    </row>
    <row r="19" spans="1:15" x14ac:dyDescent="0.15">
      <c r="A19" s="13">
        <v>20</v>
      </c>
      <c r="B19" s="5">
        <v>22.17</v>
      </c>
      <c r="C19" s="5">
        <v>22.14</v>
      </c>
      <c r="D19" s="5">
        <f t="shared" si="0"/>
        <v>22.155000000000001</v>
      </c>
      <c r="E19" s="2">
        <f t="shared" si="1"/>
        <v>0.9027307605506657</v>
      </c>
      <c r="F19" s="12">
        <f t="shared" si="2"/>
        <v>1.0678630249823167E-2</v>
      </c>
      <c r="G19" s="6">
        <v>0.2</v>
      </c>
      <c r="H19" s="4">
        <f t="shared" si="8"/>
        <v>4.0000000000000008E-2</v>
      </c>
      <c r="I19" s="3">
        <v>1.3779999999999999</v>
      </c>
      <c r="J19" s="3">
        <v>1.1476</v>
      </c>
      <c r="K19" s="3">
        <f>AVERAGE(E18:E22)</f>
        <v>0.89620651738737056</v>
      </c>
      <c r="L19" s="4">
        <f t="shared" si="10"/>
        <v>3.8897852317160191</v>
      </c>
      <c r="M19" s="3">
        <f t="shared" si="9"/>
        <v>1.1120000000000001</v>
      </c>
      <c r="N19" s="21">
        <f t="shared" si="11"/>
        <v>4.325441177668214</v>
      </c>
    </row>
    <row r="20" spans="1:15" x14ac:dyDescent="0.15">
      <c r="A20" s="13">
        <v>20</v>
      </c>
      <c r="B20" s="5">
        <v>23.1</v>
      </c>
      <c r="C20" s="5">
        <v>23.04</v>
      </c>
      <c r="D20" s="5">
        <f t="shared" si="0"/>
        <v>23.07</v>
      </c>
      <c r="E20" s="2">
        <f t="shared" si="1"/>
        <v>0.86692674469007369</v>
      </c>
      <c r="F20" s="12">
        <f t="shared" si="2"/>
        <v>1.0140691455404775E-2</v>
      </c>
      <c r="G20" s="6">
        <v>0.25</v>
      </c>
      <c r="H20" s="4">
        <f t="shared" si="8"/>
        <v>6.25E-2</v>
      </c>
      <c r="I20" s="3">
        <v>1.3779999999999999</v>
      </c>
      <c r="J20" s="3">
        <v>1.1476</v>
      </c>
      <c r="K20" s="3">
        <f>AVERAGE(E23:E27)</f>
        <v>1.2838894168152863</v>
      </c>
      <c r="L20" s="4">
        <f t="shared" si="10"/>
        <v>5.5724367049274592</v>
      </c>
      <c r="M20" s="3">
        <f t="shared" si="9"/>
        <v>1.1400000000000001</v>
      </c>
      <c r="N20" s="21">
        <f t="shared" si="11"/>
        <v>6.3525778436173042</v>
      </c>
    </row>
    <row r="21" spans="1:15" x14ac:dyDescent="0.15">
      <c r="A21" s="13">
        <v>20</v>
      </c>
      <c r="B21" s="5">
        <v>22.81</v>
      </c>
      <c r="C21" s="5">
        <v>22.78</v>
      </c>
      <c r="D21" s="5">
        <f t="shared" si="0"/>
        <v>22.795000000000002</v>
      </c>
      <c r="E21" s="2">
        <f t="shared" si="1"/>
        <v>0.87738539153323092</v>
      </c>
      <c r="F21" s="12">
        <f t="shared" si="2"/>
        <v>1.0296499849062536E-2</v>
      </c>
      <c r="G21" s="6">
        <v>0.3</v>
      </c>
      <c r="H21" s="4">
        <f t="shared" si="8"/>
        <v>0.09</v>
      </c>
      <c r="I21" s="3">
        <v>1.3779999999999999</v>
      </c>
      <c r="J21" s="3">
        <v>1.1476</v>
      </c>
      <c r="K21" s="3">
        <f>AVERAGE(E28:E32)</f>
        <v>1.794964220994439</v>
      </c>
      <c r="L21" s="4">
        <f t="shared" si="10"/>
        <v>7.7906433202883658</v>
      </c>
      <c r="M21" s="3">
        <f t="shared" si="9"/>
        <v>1.1679999999999999</v>
      </c>
      <c r="N21" s="21">
        <f t="shared" si="11"/>
        <v>9.09947139809681</v>
      </c>
    </row>
    <row r="22" spans="1:15" x14ac:dyDescent="0.15">
      <c r="A22" s="13">
        <v>20</v>
      </c>
      <c r="B22" s="5">
        <v>21.26</v>
      </c>
      <c r="C22" s="5">
        <v>21.26</v>
      </c>
      <c r="D22" s="5">
        <f t="shared" si="0"/>
        <v>21.26</v>
      </c>
      <c r="E22" s="2">
        <f t="shared" si="1"/>
        <v>0.94073377234242705</v>
      </c>
      <c r="F22" s="12">
        <f t="shared" si="2"/>
        <v>1.1263849080173046E-2</v>
      </c>
      <c r="G22" s="6">
        <v>0.4</v>
      </c>
      <c r="H22" s="4">
        <f t="shared" si="8"/>
        <v>0.16000000000000003</v>
      </c>
      <c r="I22" s="3">
        <v>1.3580000000000001</v>
      </c>
      <c r="J22" s="3">
        <v>1.1476</v>
      </c>
      <c r="K22" s="3">
        <f>AVERAGE(E33:E37)</f>
        <v>2.6687687601631089</v>
      </c>
      <c r="L22" s="4">
        <f t="shared" si="10"/>
        <v>12.684262168075604</v>
      </c>
      <c r="M22" s="3">
        <f t="shared" si="9"/>
        <v>1.224</v>
      </c>
      <c r="N22" s="21">
        <f t="shared" si="11"/>
        <v>15.525536893724539</v>
      </c>
    </row>
    <row r="23" spans="1:15" x14ac:dyDescent="0.15">
      <c r="A23" s="13">
        <v>20</v>
      </c>
      <c r="B23" s="5">
        <v>16.239999999999998</v>
      </c>
      <c r="C23" s="5">
        <v>16.23</v>
      </c>
      <c r="D23" s="5">
        <f t="shared" si="0"/>
        <v>16.234999999999999</v>
      </c>
      <c r="E23" s="2">
        <f t="shared" si="1"/>
        <v>1.2319063751154913</v>
      </c>
      <c r="F23" s="12">
        <f t="shared" si="2"/>
        <v>1.6266859439573254E-2</v>
      </c>
      <c r="G23" s="6">
        <v>0.35699999999999998</v>
      </c>
      <c r="H23" s="4">
        <f t="shared" si="8"/>
        <v>0.12744899999999998</v>
      </c>
      <c r="I23" s="3">
        <v>1.3779999999999999</v>
      </c>
      <c r="J23" s="3">
        <v>1.1476</v>
      </c>
      <c r="K23" s="3">
        <f>AVERAGE(E38:E42)</f>
        <v>2.3916884389627704</v>
      </c>
      <c r="L23" s="4">
        <f t="shared" si="10"/>
        <v>10.380592182998138</v>
      </c>
      <c r="M23" s="3">
        <f t="shared" si="9"/>
        <v>1.1999200000000001</v>
      </c>
      <c r="N23" s="21">
        <f t="shared" si="11"/>
        <v>12.455880172223127</v>
      </c>
    </row>
    <row r="24" spans="1:15" ht="14.25" thickBot="1" x14ac:dyDescent="0.2">
      <c r="A24" s="13">
        <v>20</v>
      </c>
      <c r="B24" s="5">
        <v>15.37</v>
      </c>
      <c r="C24" s="5">
        <v>15.48</v>
      </c>
      <c r="D24" s="5">
        <f t="shared" si="0"/>
        <v>15.425000000000001</v>
      </c>
      <c r="E24" s="2">
        <f t="shared" si="1"/>
        <v>1.2965964343598055</v>
      </c>
      <c r="F24" s="12">
        <f t="shared" si="2"/>
        <v>1.7510147368521387E-2</v>
      </c>
      <c r="G24" s="38">
        <v>0.45</v>
      </c>
      <c r="H24" s="39">
        <f t="shared" si="8"/>
        <v>0.20250000000000001</v>
      </c>
      <c r="I24" s="36">
        <v>1.363</v>
      </c>
      <c r="J24" s="36">
        <v>1.1476</v>
      </c>
      <c r="K24" s="36">
        <f>AVERAGE(E43:E47)</f>
        <v>3.3962463415018815</v>
      </c>
      <c r="L24" s="39">
        <f t="shared" si="10"/>
        <v>15.767160359804461</v>
      </c>
      <c r="M24" s="36">
        <f t="shared" si="9"/>
        <v>1.252</v>
      </c>
      <c r="N24" s="40">
        <f t="shared" si="11"/>
        <v>19.740484770475184</v>
      </c>
    </row>
    <row r="25" spans="1:15" x14ac:dyDescent="0.15">
      <c r="A25" s="13">
        <v>20</v>
      </c>
      <c r="B25" s="5">
        <v>15.36</v>
      </c>
      <c r="C25" s="5">
        <v>15.64</v>
      </c>
      <c r="D25" s="5">
        <f t="shared" si="0"/>
        <v>15.5</v>
      </c>
      <c r="E25" s="2">
        <f t="shared" si="1"/>
        <v>1.2903225806451613</v>
      </c>
      <c r="F25" s="37">
        <f t="shared" si="2"/>
        <v>1.7387386950431155E-2</v>
      </c>
      <c r="G25" s="7" t="s">
        <v>27</v>
      </c>
      <c r="H25" s="20" t="s">
        <v>33</v>
      </c>
      <c r="I25" s="27" t="s">
        <v>28</v>
      </c>
      <c r="J25" s="20" t="s">
        <v>31</v>
      </c>
      <c r="K25" s="27" t="s">
        <v>29</v>
      </c>
      <c r="L25" s="42" t="s">
        <v>30</v>
      </c>
      <c r="M25" s="27" t="s">
        <v>34</v>
      </c>
      <c r="N25" s="42" t="s">
        <v>32</v>
      </c>
      <c r="O25" s="31" t="s">
        <v>29</v>
      </c>
    </row>
    <row r="26" spans="1:15" x14ac:dyDescent="0.15">
      <c r="A26" s="13">
        <v>20</v>
      </c>
      <c r="B26" s="5">
        <v>14.82</v>
      </c>
      <c r="C26" s="5">
        <v>15.45</v>
      </c>
      <c r="D26" s="5">
        <f t="shared" si="0"/>
        <v>15.135</v>
      </c>
      <c r="E26" s="2">
        <f t="shared" si="1"/>
        <v>1.3214403700033037</v>
      </c>
      <c r="F26" s="37">
        <f t="shared" si="2"/>
        <v>1.8000910218768637E-2</v>
      </c>
      <c r="G26" s="43">
        <v>7.4999999999999997E-2</v>
      </c>
      <c r="H26" s="3">
        <f>2*9.80984*(I16-J16)*H16/9/0.222*10</f>
        <v>0.12726278918918915</v>
      </c>
      <c r="I26" s="3">
        <f>H26*SQRT((4*10^(-10))/9.80984^2+4*G6^2/G16^2+($K$4/(I16-J16))^2+(0.0059/0.222)^2)</f>
        <v>3.9893143712314404E-3</v>
      </c>
      <c r="J26" s="3">
        <f t="shared" ref="J26:J34" si="12">J16*K16*G16*2/0.222/10</f>
        <v>1.2926276074381932E-2</v>
      </c>
      <c r="K26" s="3">
        <f>J26*SQRT(($J$4/J16)^2+(G6/G16)^2+(0.0059/0.222)^2+(I6/K16)^2)</f>
        <v>4.2023925478733211E-4</v>
      </c>
      <c r="L26" s="3">
        <f>K16/H26</f>
        <v>1.309915151818374</v>
      </c>
      <c r="M26" s="41">
        <f>SQRT((I6/H26)^2+(I26*K16/H26^2)^2)</f>
        <v>4.737441421058184E-2</v>
      </c>
      <c r="N26" s="41">
        <f>J16*K16*G16*2/0.2513/10</f>
        <v>1.1419153555562231E-2</v>
      </c>
      <c r="O26" s="12">
        <f>J26*SQRT(($J$4/J16)^2+(G6/G16)^2+(0.0087/0.2513)^2+(I6/K16)^2)</f>
        <v>5.087698687287549E-4</v>
      </c>
    </row>
    <row r="27" spans="1:15" x14ac:dyDescent="0.15">
      <c r="A27" s="13">
        <v>20</v>
      </c>
      <c r="B27" s="5">
        <v>15.73</v>
      </c>
      <c r="C27" s="5">
        <v>15.54</v>
      </c>
      <c r="D27" s="5">
        <f t="shared" si="0"/>
        <v>15.635</v>
      </c>
      <c r="E27" s="2">
        <f t="shared" si="1"/>
        <v>1.2791813239526704</v>
      </c>
      <c r="F27" s="37">
        <f t="shared" si="2"/>
        <v>1.7170546643330252E-2</v>
      </c>
      <c r="G27" s="43">
        <v>0.1</v>
      </c>
      <c r="H27" s="3">
        <f t="shared" ref="H27:H34" si="13">2*9.80984*(I17-J17)*H17/9/0.222*10</f>
        <v>0.22624495855855853</v>
      </c>
      <c r="I27" s="3">
        <f t="shared" ref="I27:I34" si="14">H27*SQRT((4*10^(-10))/9.80984^2+4*G7^2/G17^2+($K$4/(I17-J17))^2+(0.0059/0.222)^2)</f>
        <v>7.0921144377447841E-3</v>
      </c>
      <c r="J27" s="3">
        <f t="shared" si="12"/>
        <v>2.878754677792187E-2</v>
      </c>
      <c r="K27" s="3">
        <f>J27*SQRT(($J$4/J17)^2+(G7/G17)^2+(0.0059/0.222)^2+(I7/K17)^2)</f>
        <v>7.9493032244148259E-4</v>
      </c>
      <c r="L27" s="3">
        <f>K17/H27</f>
        <v>1.2307169596102674</v>
      </c>
      <c r="M27" s="41">
        <f t="shared" ref="M27:M34" si="15">SQRT((I7/H27)^2+(I27*K17/H27^2)^2)</f>
        <v>3.9181787091336844E-2</v>
      </c>
      <c r="N27" s="41">
        <f>J17*K17*G17*2/0.2513/10</f>
        <v>2.543109981973201E-2</v>
      </c>
      <c r="O27" s="12">
        <f>J27*SQRT(($J$4/J17)^2+(G7/G17)^2+(0.0087/0.2513)^2+(I7/K17)^2)</f>
        <v>1.0197230393868247E-3</v>
      </c>
    </row>
    <row r="28" spans="1:15" x14ac:dyDescent="0.15">
      <c r="A28" s="11">
        <v>25</v>
      </c>
      <c r="B28" s="5">
        <v>13.67</v>
      </c>
      <c r="C28" s="5">
        <v>13.82</v>
      </c>
      <c r="D28" s="5">
        <f t="shared" si="0"/>
        <v>13.745000000000001</v>
      </c>
      <c r="E28" s="2">
        <f t="shared" si="1"/>
        <v>1.8188432157148053</v>
      </c>
      <c r="F28" s="37">
        <f t="shared" si="2"/>
        <v>2.3556994112362343E-2</v>
      </c>
      <c r="G28" s="43">
        <f>0.15</f>
        <v>0.15</v>
      </c>
      <c r="H28" s="3">
        <f t="shared" si="13"/>
        <v>0.50905115675675661</v>
      </c>
      <c r="I28" s="3">
        <f t="shared" si="14"/>
        <v>1.5957257484925762E-2</v>
      </c>
      <c r="J28" s="3">
        <f t="shared" si="12"/>
        <v>8.2029050713923093E-2</v>
      </c>
      <c r="K28" s="3">
        <f>J28*SQRT(($J$4/J18)^2+(G8/G18)^2+(0.0059/0.222)^2+(I8/K18)^2)</f>
        <v>2.2793217474016531E-3</v>
      </c>
      <c r="L28" s="3">
        <f>K18/H28</f>
        <v>1.0390762950707697</v>
      </c>
      <c r="M28" s="41">
        <f t="shared" si="15"/>
        <v>3.3236713152004535E-2</v>
      </c>
      <c r="N28" s="41">
        <f>J18*K18*G18*2/0.2513/10</f>
        <v>7.24649791424231E-2</v>
      </c>
      <c r="O28" s="12">
        <f>J28*SQRT(($J$4/J18)^2+(G8/G18)^2+(0.0087/0.2513)^2+(I8/K18)^2)</f>
        <v>2.9167441485399067E-3</v>
      </c>
    </row>
    <row r="29" spans="1:15" x14ac:dyDescent="0.15">
      <c r="A29" s="11">
        <v>25</v>
      </c>
      <c r="B29" s="5">
        <v>13.92</v>
      </c>
      <c r="C29" s="5">
        <v>14.02</v>
      </c>
      <c r="D29" s="5">
        <f t="shared" si="0"/>
        <v>13.969999999999999</v>
      </c>
      <c r="E29" s="2">
        <f t="shared" si="1"/>
        <v>1.789549033643522</v>
      </c>
      <c r="F29" s="37">
        <f t="shared" si="2"/>
        <v>2.2947430795225585E-2</v>
      </c>
      <c r="G29" s="43">
        <v>0.2</v>
      </c>
      <c r="H29" s="3">
        <f t="shared" si="13"/>
        <v>0.90497983423423412</v>
      </c>
      <c r="I29" s="3">
        <f t="shared" si="14"/>
        <v>2.8368457750979136E-2</v>
      </c>
      <c r="J29" s="3">
        <f t="shared" si="12"/>
        <v>0.18531290078445881</v>
      </c>
      <c r="K29" s="3">
        <f>J29*SQRT(($J$4/J19)^2+(G9/G19)^2+(0.0059/0.222)^2+(I9/K19)^2)</f>
        <v>5.107089858686604E-3</v>
      </c>
      <c r="L29" s="3">
        <f>K19/H29</f>
        <v>0.99030551122248234</v>
      </c>
      <c r="M29" s="41">
        <f t="shared" si="15"/>
        <v>3.1481191871580633E-2</v>
      </c>
      <c r="N29" s="41">
        <f>J19*K19*G19*2/0.2513/10</f>
        <v>0.16370658167190549</v>
      </c>
      <c r="O29" s="12">
        <f>J29*SQRT(($J$4/J19)^2+(G9/G19)^2+(0.0087/0.2513)^2+(I9/K19)^2)</f>
        <v>6.5563645650081343E-3</v>
      </c>
    </row>
    <row r="30" spans="1:15" x14ac:dyDescent="0.15">
      <c r="A30" s="11">
        <v>25</v>
      </c>
      <c r="B30" s="5">
        <v>13.98</v>
      </c>
      <c r="C30" s="5">
        <v>13.81</v>
      </c>
      <c r="D30" s="5">
        <f t="shared" si="0"/>
        <v>13.895</v>
      </c>
      <c r="E30" s="2">
        <f t="shared" si="1"/>
        <v>1.7992083483267363</v>
      </c>
      <c r="F30" s="37">
        <f t="shared" si="2"/>
        <v>2.3147432168788246E-2</v>
      </c>
      <c r="G30" s="43">
        <v>0.25</v>
      </c>
      <c r="H30" s="3">
        <f t="shared" si="13"/>
        <v>1.4140309909909907</v>
      </c>
      <c r="I30" s="3">
        <f t="shared" si="14"/>
        <v>4.4325715235904901E-2</v>
      </c>
      <c r="J30" s="3">
        <f t="shared" si="12"/>
        <v>0.33184493124712222</v>
      </c>
      <c r="K30" s="3">
        <f>J30*SQRT(($J$4/J20)^2+(G10/G20)^2+(0.0059/0.222)^2+(I10/K20)^2)</f>
        <v>9.1951759975187394E-3</v>
      </c>
      <c r="L30" s="3">
        <f>K20/H30</f>
        <v>0.90796412878865007</v>
      </c>
      <c r="M30" s="41">
        <f t="shared" si="15"/>
        <v>2.8981743932934536E-2</v>
      </c>
      <c r="N30" s="41">
        <f>J20*K20*G20*2/0.2513/10</f>
        <v>0.29315389867433794</v>
      </c>
      <c r="O30" s="12">
        <f>J30*SQRT(($J$4/J20)^2+(G10/G20)^2+(0.0087/0.2513)^2+(I10/K20)^2)</f>
        <v>1.1779472215242457E-2</v>
      </c>
    </row>
    <row r="31" spans="1:15" x14ac:dyDescent="0.15">
      <c r="A31" s="11">
        <v>25</v>
      </c>
      <c r="B31" s="5">
        <v>13.87</v>
      </c>
      <c r="C31" s="5">
        <v>13.93</v>
      </c>
      <c r="D31" s="5">
        <f t="shared" si="0"/>
        <v>13.899999999999999</v>
      </c>
      <c r="E31" s="2">
        <f t="shared" si="1"/>
        <v>1.7985611510791368</v>
      </c>
      <c r="F31" s="37">
        <f t="shared" si="2"/>
        <v>2.3134001082729262E-2</v>
      </c>
      <c r="G31" s="43">
        <v>0.3</v>
      </c>
      <c r="H31" s="3">
        <f t="shared" si="13"/>
        <v>2.0362046270270264</v>
      </c>
      <c r="I31" s="3">
        <f t="shared" si="14"/>
        <v>6.3829029939703047E-2</v>
      </c>
      <c r="J31" s="3">
        <f t="shared" si="12"/>
        <v>0.55672998378735616</v>
      </c>
      <c r="K31" s="3">
        <f>J31*SQRT(($J$4/J21)^2+(G11/G21)^2+(0.0059/0.222)^2+(I11/K21)^2)</f>
        <v>1.5394429698903664E-2</v>
      </c>
      <c r="L31" s="3">
        <f>K21/H31</f>
        <v>0.88152447802615397</v>
      </c>
      <c r="M31" s="41">
        <f t="shared" si="15"/>
        <v>2.8093632432714975E-2</v>
      </c>
      <c r="N31" s="41">
        <f>J21*K21*G21*2/0.2513/10</f>
        <v>0.49181876800952279</v>
      </c>
      <c r="O31" s="12">
        <f>J31*SQRT(($J$4/J21)^2+(G11/G21)^2+(0.0087/0.2513)^2+(I11/K21)^2)</f>
        <v>1.9737116955232035E-2</v>
      </c>
    </row>
    <row r="32" spans="1:15" x14ac:dyDescent="0.15">
      <c r="A32" s="11">
        <v>25</v>
      </c>
      <c r="B32" s="5">
        <v>14.12</v>
      </c>
      <c r="C32" s="5">
        <v>14.15</v>
      </c>
      <c r="D32" s="5">
        <f t="shared" si="0"/>
        <v>14.135</v>
      </c>
      <c r="E32" s="2">
        <f t="shared" si="1"/>
        <v>1.7686593562079944</v>
      </c>
      <c r="F32" s="37">
        <f t="shared" si="2"/>
        <v>2.2518233747310327E-2</v>
      </c>
      <c r="G32" s="43">
        <v>0.4</v>
      </c>
      <c r="H32" s="3">
        <f t="shared" si="13"/>
        <v>3.3056902278278306</v>
      </c>
      <c r="I32" s="3">
        <f t="shared" si="14"/>
        <v>0.10545893129984588</v>
      </c>
      <c r="J32" s="3">
        <f t="shared" si="12"/>
        <v>1.1036681186173636</v>
      </c>
      <c r="K32" s="3">
        <f>J32*SQRT(($J$4/J22)^2+(G12/G22)^2+(0.0059/0.222)^2+(I12/K22)^2)</f>
        <v>3.0655622916455603E-2</v>
      </c>
      <c r="L32" s="3">
        <f>K22/H32</f>
        <v>0.80732572510787171</v>
      </c>
      <c r="M32" s="41">
        <f t="shared" si="15"/>
        <v>2.6255821210018501E-2</v>
      </c>
      <c r="N32" s="41">
        <f>J22*K22*G22*2/0.2513/10</f>
        <v>0.97498735508577261</v>
      </c>
      <c r="O32" s="12">
        <f>J32*SQRT(($J$4/J22)^2+(G12/G22)^2+(0.0087/0.2513)^2+(I12/K22)^2)</f>
        <v>3.9234453302192794E-2</v>
      </c>
    </row>
    <row r="33" spans="1:15" x14ac:dyDescent="0.15">
      <c r="A33" s="13">
        <v>30</v>
      </c>
      <c r="B33" s="5">
        <v>11.23</v>
      </c>
      <c r="C33" s="5">
        <v>11.26</v>
      </c>
      <c r="D33" s="5">
        <f t="shared" si="0"/>
        <v>11.245000000000001</v>
      </c>
      <c r="E33" s="2">
        <f t="shared" si="1"/>
        <v>2.6678523788350375</v>
      </c>
      <c r="F33" s="37">
        <f t="shared" si="2"/>
        <v>3.7676876002308166E-2</v>
      </c>
      <c r="G33" s="43">
        <v>0.35699999999999998</v>
      </c>
      <c r="H33" s="3">
        <f t="shared" si="13"/>
        <v>2.8834693723329718</v>
      </c>
      <c r="I33" s="3">
        <f t="shared" si="14"/>
        <v>9.0388289297613472E-2</v>
      </c>
      <c r="J33" s="3">
        <f t="shared" si="12"/>
        <v>0.88275539636185774</v>
      </c>
      <c r="K33" s="3">
        <f>J33*SQRT(($J$4/J23)^2+(G13/G23)^2+(0.0059/0.222)^2+(I13/K23)^2)</f>
        <v>2.4422161426919286E-2</v>
      </c>
      <c r="L33" s="3">
        <f>K23/H33</f>
        <v>0.82944818554729127</v>
      </c>
      <c r="M33" s="41">
        <f t="shared" si="15"/>
        <v>2.6444294132406787E-2</v>
      </c>
      <c r="N33" s="41">
        <f>J23*K23*G23*2/0.2513/10</f>
        <v>0.77983166729937281</v>
      </c>
      <c r="O33" s="12">
        <f>J33*SQRT(($J$4/J23)^2+(G13/G23)^2+(0.0087/0.2513)^2+(I13/K23)^2)</f>
        <v>3.1305181364776814E-2</v>
      </c>
    </row>
    <row r="34" spans="1:15" ht="14.25" thickBot="1" x14ac:dyDescent="0.2">
      <c r="A34" s="13">
        <v>30</v>
      </c>
      <c r="B34" s="5">
        <v>11.14</v>
      </c>
      <c r="C34" s="5">
        <v>11.18</v>
      </c>
      <c r="D34" s="5">
        <f t="shared" si="0"/>
        <v>11.16</v>
      </c>
      <c r="E34" s="2">
        <f t="shared" si="1"/>
        <v>2.6881720430107525</v>
      </c>
      <c r="F34" s="37">
        <f t="shared" si="2"/>
        <v>3.8188747994188935E-2</v>
      </c>
      <c r="G34" s="19">
        <v>0.45</v>
      </c>
      <c r="H34" s="22">
        <f t="shared" si="13"/>
        <v>4.2831882486486492</v>
      </c>
      <c r="I34" s="22">
        <f t="shared" si="14"/>
        <v>0.13599044528013418</v>
      </c>
      <c r="J34" s="22">
        <f t="shared" si="12"/>
        <v>1.5800806627733346</v>
      </c>
      <c r="K34" s="22">
        <f>J34*SQRT(($J$4/J24)^2+(G14/G24)^2+(0.0059/0.222)^2+(I14/K24)^2)</f>
        <v>4.3698632686857704E-2</v>
      </c>
      <c r="L34" s="22">
        <f>K24/H34</f>
        <v>0.79292483644009837</v>
      </c>
      <c r="M34" s="44">
        <f t="shared" si="15"/>
        <v>2.55872156361053E-2</v>
      </c>
      <c r="N34" s="44">
        <f>J24*K24*G24*2/0.2513/10</f>
        <v>1.3958531919446089</v>
      </c>
      <c r="O34" s="17">
        <f>J34*SQRT(($J$4/J24)^2+(G14/G24)^2+(0.0087/0.2513)^2+(I14/K24)^2)</f>
        <v>5.6022270187199415E-2</v>
      </c>
    </row>
    <row r="35" spans="1:15" x14ac:dyDescent="0.15">
      <c r="A35" s="13">
        <v>30</v>
      </c>
      <c r="B35" s="5">
        <v>11.1</v>
      </c>
      <c r="C35" s="5">
        <v>11.36</v>
      </c>
      <c r="D35" s="5">
        <f t="shared" si="0"/>
        <v>11.23</v>
      </c>
      <c r="E35" s="2">
        <f t="shared" si="1"/>
        <v>2.6714158504007122</v>
      </c>
      <c r="F35" s="12">
        <f t="shared" si="2"/>
        <v>3.7766370226596423E-2</v>
      </c>
      <c r="G35" s="1"/>
    </row>
    <row r="36" spans="1:15" x14ac:dyDescent="0.15">
      <c r="A36" s="13">
        <v>30</v>
      </c>
      <c r="B36" s="5">
        <v>11.07</v>
      </c>
      <c r="C36" s="5">
        <v>11.23</v>
      </c>
      <c r="D36" s="5">
        <f t="shared" si="0"/>
        <v>11.15</v>
      </c>
      <c r="E36" s="2">
        <f t="shared" si="1"/>
        <v>2.6905829596412554</v>
      </c>
      <c r="F36" s="12">
        <f t="shared" si="2"/>
        <v>3.8249731977274722E-2</v>
      </c>
      <c r="G36" s="1"/>
      <c r="H36" s="3" t="s">
        <v>7</v>
      </c>
      <c r="I36" s="3" t="s">
        <v>8</v>
      </c>
    </row>
    <row r="37" spans="1:15" x14ac:dyDescent="0.15">
      <c r="A37" s="13">
        <v>30</v>
      </c>
      <c r="B37" s="5">
        <v>11.49</v>
      </c>
      <c r="C37" s="5">
        <v>11.36</v>
      </c>
      <c r="D37" s="5">
        <f t="shared" si="0"/>
        <v>11.425000000000001</v>
      </c>
      <c r="E37" s="2">
        <f t="shared" si="1"/>
        <v>2.6258205689277898</v>
      </c>
      <c r="F37" s="12">
        <f t="shared" si="2"/>
        <v>3.6630034821305953E-2</v>
      </c>
      <c r="G37" s="1"/>
      <c r="H37" s="3">
        <v>121</v>
      </c>
      <c r="I37" s="3">
        <v>5</v>
      </c>
    </row>
    <row r="38" spans="1:15" x14ac:dyDescent="0.15">
      <c r="A38" s="13">
        <v>30</v>
      </c>
      <c r="B38" s="5">
        <v>12.51</v>
      </c>
      <c r="C38" s="5">
        <v>12.43</v>
      </c>
      <c r="D38" s="5">
        <f t="shared" si="0"/>
        <v>12.469999999999999</v>
      </c>
      <c r="E38" s="2">
        <f t="shared" si="1"/>
        <v>2.4057738572574179</v>
      </c>
      <c r="F38" s="12">
        <f t="shared" si="2"/>
        <v>3.141251003514952E-2</v>
      </c>
      <c r="H38" s="3">
        <v>268</v>
      </c>
      <c r="I38" s="3">
        <v>10</v>
      </c>
    </row>
    <row r="39" spans="1:15" x14ac:dyDescent="0.15">
      <c r="A39" s="13">
        <v>30</v>
      </c>
      <c r="B39" s="5">
        <v>12.54</v>
      </c>
      <c r="C39" s="5">
        <v>12.4</v>
      </c>
      <c r="D39" s="5">
        <f t="shared" si="0"/>
        <v>12.469999999999999</v>
      </c>
      <c r="E39" s="2">
        <f t="shared" si="1"/>
        <v>2.4057738572574179</v>
      </c>
      <c r="F39" s="12">
        <f t="shared" si="2"/>
        <v>3.141251003514952E-2</v>
      </c>
      <c r="G39" s="1"/>
      <c r="H39" s="3">
        <v>402</v>
      </c>
      <c r="I39" s="3">
        <v>15</v>
      </c>
    </row>
    <row r="40" spans="1:15" x14ac:dyDescent="0.15">
      <c r="A40" s="13">
        <v>30</v>
      </c>
      <c r="B40" s="5">
        <v>12.53</v>
      </c>
      <c r="C40" s="5">
        <v>12.56</v>
      </c>
      <c r="D40" s="5">
        <f t="shared" si="0"/>
        <v>12.545</v>
      </c>
      <c r="E40" s="2">
        <f t="shared" si="1"/>
        <v>2.3913909924272621</v>
      </c>
      <c r="F40" s="12">
        <f t="shared" si="2"/>
        <v>3.1086807182926644E-2</v>
      </c>
      <c r="G40" s="1"/>
      <c r="H40" s="3">
        <v>539</v>
      </c>
      <c r="I40" s="3">
        <v>20</v>
      </c>
    </row>
    <row r="41" spans="1:15" x14ac:dyDescent="0.15">
      <c r="A41" s="13">
        <v>30</v>
      </c>
      <c r="B41" s="5">
        <v>12.54</v>
      </c>
      <c r="C41" s="5">
        <v>12.53</v>
      </c>
      <c r="D41" s="5">
        <f t="shared" si="0"/>
        <v>12.535</v>
      </c>
      <c r="E41" s="2">
        <f t="shared" si="1"/>
        <v>2.3932987634623055</v>
      </c>
      <c r="F41" s="12">
        <f t="shared" si="2"/>
        <v>3.112990113158846E-2</v>
      </c>
      <c r="G41" s="1"/>
      <c r="H41" s="3">
        <v>670</v>
      </c>
      <c r="I41" s="3">
        <v>25</v>
      </c>
    </row>
    <row r="42" spans="1:15" x14ac:dyDescent="0.15">
      <c r="A42" s="13">
        <v>30</v>
      </c>
      <c r="B42" s="5">
        <v>12.72</v>
      </c>
      <c r="C42" s="5">
        <v>12.68</v>
      </c>
      <c r="D42" s="5">
        <f t="shared" si="0"/>
        <v>12.7</v>
      </c>
      <c r="E42" s="2">
        <f t="shared" si="1"/>
        <v>2.3622047244094491</v>
      </c>
      <c r="F42" s="12">
        <f t="shared" si="2"/>
        <v>3.0431641564916099E-2</v>
      </c>
      <c r="G42" s="1"/>
    </row>
    <row r="43" spans="1:15" x14ac:dyDescent="0.15">
      <c r="A43" s="13">
        <v>40</v>
      </c>
      <c r="B43" s="5">
        <v>11.82</v>
      </c>
      <c r="C43" s="5">
        <v>11.72</v>
      </c>
      <c r="D43" s="5">
        <f t="shared" si="0"/>
        <v>11.77</v>
      </c>
      <c r="E43" s="2">
        <f t="shared" si="1"/>
        <v>3.3984706881903146</v>
      </c>
      <c r="F43" s="12">
        <f t="shared" si="2"/>
        <v>4.3849838842914844E-2</v>
      </c>
    </row>
    <row r="44" spans="1:15" x14ac:dyDescent="0.15">
      <c r="A44" s="13">
        <v>40</v>
      </c>
      <c r="B44" s="5">
        <v>11.65</v>
      </c>
      <c r="C44" s="5">
        <v>11.72</v>
      </c>
      <c r="D44" s="5">
        <f t="shared" si="0"/>
        <v>11.685</v>
      </c>
      <c r="E44" s="2">
        <f t="shared" si="1"/>
        <v>3.4231921266581087</v>
      </c>
      <c r="F44" s="12">
        <f t="shared" si="2"/>
        <v>4.4442011934680586E-2</v>
      </c>
      <c r="G44" s="1"/>
    </row>
    <row r="45" spans="1:15" x14ac:dyDescent="0.15">
      <c r="A45" s="13">
        <v>40</v>
      </c>
      <c r="B45" s="5">
        <v>11.89</v>
      </c>
      <c r="C45" s="5">
        <v>11.81</v>
      </c>
      <c r="D45" s="5">
        <f t="shared" si="0"/>
        <v>11.850000000000001</v>
      </c>
      <c r="E45" s="2">
        <f t="shared" si="1"/>
        <v>3.3755274261603372</v>
      </c>
      <c r="F45" s="12">
        <f t="shared" si="2"/>
        <v>4.3304053307228099E-2</v>
      </c>
      <c r="G45" s="1"/>
    </row>
    <row r="46" spans="1:15" x14ac:dyDescent="0.15">
      <c r="A46" s="13">
        <v>40</v>
      </c>
      <c r="B46" s="5">
        <v>11.75</v>
      </c>
      <c r="C46" s="5">
        <v>11.76</v>
      </c>
      <c r="D46" s="5">
        <f t="shared" si="0"/>
        <v>11.754999999999999</v>
      </c>
      <c r="E46" s="2">
        <f t="shared" si="1"/>
        <v>3.4028073160357297</v>
      </c>
      <c r="F46" s="12">
        <f t="shared" si="2"/>
        <v>4.3953411009301543E-2</v>
      </c>
      <c r="G46" s="1"/>
    </row>
    <row r="47" spans="1:15" ht="14.25" thickBot="1" x14ac:dyDescent="0.2">
      <c r="A47" s="14">
        <v>40</v>
      </c>
      <c r="B47" s="15">
        <v>11.88</v>
      </c>
      <c r="C47" s="15">
        <v>11.78</v>
      </c>
      <c r="D47" s="15">
        <f t="shared" si="0"/>
        <v>11.83</v>
      </c>
      <c r="E47" s="16">
        <f t="shared" si="1"/>
        <v>3.3812341504649197</v>
      </c>
      <c r="F47" s="17">
        <f t="shared" si="2"/>
        <v>4.3439466494169923E-2</v>
      </c>
      <c r="G47" s="1"/>
    </row>
  </sheetData>
  <phoneticPr fontId="1" type="noConversion"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2017-12-04T09:05:08Z</cp:lastPrinted>
  <dcterms:created xsi:type="dcterms:W3CDTF">2017-12-02T11:57:31Z</dcterms:created>
  <dcterms:modified xsi:type="dcterms:W3CDTF">2017-12-11T23:29:27Z</dcterms:modified>
</cp:coreProperties>
</file>