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Yajie\Desktop\Praktikum\"/>
    </mc:Choice>
  </mc:AlternateContent>
  <bookViews>
    <workbookView xWindow="3640" yWindow="0" windowWidth="10620" windowHeight="465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5" i="1" l="1" a="1"/>
  <c r="I66" i="1" s="1"/>
  <c r="I62" i="1" a="1"/>
  <c r="I63" i="1" s="1"/>
  <c r="C59" i="1"/>
  <c r="D59" i="1"/>
  <c r="E59" i="1"/>
  <c r="F59" i="1"/>
  <c r="G59" i="1"/>
  <c r="H59" i="1"/>
  <c r="I59" i="1"/>
  <c r="J59" i="1"/>
  <c r="K59" i="1"/>
  <c r="B59" i="1"/>
  <c r="K58" i="1"/>
  <c r="J58" i="1"/>
  <c r="I58" i="1"/>
  <c r="H58" i="1"/>
  <c r="G58" i="1"/>
  <c r="F58" i="1"/>
  <c r="E58" i="1"/>
  <c r="D58" i="1"/>
  <c r="C58" i="1"/>
  <c r="B58" i="1"/>
  <c r="K53" i="1"/>
  <c r="J53" i="1"/>
  <c r="J54" i="1" s="1"/>
  <c r="I53" i="1"/>
  <c r="H53" i="1"/>
  <c r="G53" i="1"/>
  <c r="G54" i="1" s="1"/>
  <c r="F53" i="1"/>
  <c r="E53" i="1"/>
  <c r="E54" i="1" s="1"/>
  <c r="D53" i="1"/>
  <c r="D54" i="1" s="1"/>
  <c r="C53" i="1"/>
  <c r="C54" i="1" s="1"/>
  <c r="B53" i="1"/>
  <c r="B54" i="1" s="1"/>
  <c r="F54" i="1"/>
  <c r="H54" i="1"/>
  <c r="I54" i="1"/>
  <c r="K54" i="1"/>
  <c r="C57" i="1"/>
  <c r="D57" i="1"/>
  <c r="E57" i="1"/>
  <c r="F57" i="1"/>
  <c r="G57" i="1"/>
  <c r="H57" i="1"/>
  <c r="I57" i="1"/>
  <c r="J57" i="1"/>
  <c r="K57" i="1"/>
  <c r="B57" i="1"/>
  <c r="C52" i="1"/>
  <c r="D52" i="1"/>
  <c r="E52" i="1"/>
  <c r="F52" i="1"/>
  <c r="G52" i="1"/>
  <c r="H52" i="1"/>
  <c r="I52" i="1"/>
  <c r="J52" i="1"/>
  <c r="K52" i="1"/>
  <c r="B52" i="1"/>
  <c r="F98" i="1"/>
  <c r="F99" i="1"/>
  <c r="E98" i="1"/>
  <c r="E99" i="1"/>
  <c r="E100" i="1"/>
  <c r="F100" i="1" s="1"/>
  <c r="E97" i="1"/>
  <c r="F97" i="1" s="1"/>
  <c r="E15" i="1"/>
  <c r="G15" i="1" s="1"/>
  <c r="H15" i="1" s="1"/>
  <c r="J15" i="1" s="1"/>
  <c r="E16" i="1"/>
  <c r="G16" i="1" s="1"/>
  <c r="H16" i="1" s="1"/>
  <c r="J16" i="1" s="1"/>
  <c r="E17" i="1"/>
  <c r="G17" i="1" s="1"/>
  <c r="H17" i="1" s="1"/>
  <c r="J17" i="1" s="1"/>
  <c r="E18" i="1"/>
  <c r="G18" i="1" s="1"/>
  <c r="H18" i="1" s="1"/>
  <c r="J18" i="1" s="1"/>
  <c r="E19" i="1"/>
  <c r="G19" i="1" s="1"/>
  <c r="H19" i="1" s="1"/>
  <c r="J19" i="1" s="1"/>
  <c r="E20" i="1"/>
  <c r="G20" i="1" s="1"/>
  <c r="H20" i="1" s="1"/>
  <c r="J20" i="1" s="1"/>
  <c r="E21" i="1"/>
  <c r="E22" i="1"/>
  <c r="G22" i="1" s="1"/>
  <c r="H22" i="1" s="1"/>
  <c r="J22" i="1" s="1"/>
  <c r="E23" i="1"/>
  <c r="G23" i="1" s="1"/>
  <c r="H23" i="1" s="1"/>
  <c r="J23" i="1" s="1"/>
  <c r="E24" i="1"/>
  <c r="G24" i="1" s="1"/>
  <c r="H24" i="1" s="1"/>
  <c r="J24" i="1" s="1"/>
  <c r="E25" i="1"/>
  <c r="G25" i="1" s="1"/>
  <c r="H25" i="1" s="1"/>
  <c r="J25" i="1" s="1"/>
  <c r="E26" i="1"/>
  <c r="G26" i="1" s="1"/>
  <c r="H26" i="1" s="1"/>
  <c r="J26" i="1" s="1"/>
  <c r="E27" i="1"/>
  <c r="G27" i="1" s="1"/>
  <c r="H27" i="1" s="1"/>
  <c r="J27" i="1" s="1"/>
  <c r="E28" i="1"/>
  <c r="G28" i="1" s="1"/>
  <c r="I28" i="1" s="1"/>
  <c r="E29" i="1"/>
  <c r="G29" i="1" s="1"/>
  <c r="H29" i="1" s="1"/>
  <c r="J29" i="1" s="1"/>
  <c r="E14" i="1"/>
  <c r="G14" i="1" s="1"/>
  <c r="H14" i="1" s="1"/>
  <c r="J14" i="1" s="1"/>
  <c r="F10" i="1" a="1"/>
  <c r="F11" i="1" s="1"/>
  <c r="F3" i="1"/>
  <c r="F4" i="1"/>
  <c r="F5" i="1"/>
  <c r="F6" i="1"/>
  <c r="F7" i="1"/>
  <c r="F2" i="1"/>
  <c r="I65" i="1" l="1"/>
  <c r="I62" i="1"/>
  <c r="G21" i="1"/>
  <c r="H21" i="1" s="1"/>
  <c r="J21" i="1" s="1"/>
  <c r="I20" i="1"/>
  <c r="H28" i="1"/>
  <c r="J28" i="1" s="1"/>
  <c r="I15" i="1"/>
  <c r="I29" i="1"/>
  <c r="I23" i="1"/>
  <c r="I16" i="1"/>
  <c r="I27" i="1"/>
  <c r="I19" i="1"/>
  <c r="I26" i="1"/>
  <c r="I18" i="1"/>
  <c r="I17" i="1"/>
  <c r="I25" i="1"/>
  <c r="I24" i="1"/>
  <c r="I14" i="1"/>
  <c r="F10" i="1"/>
  <c r="D2" i="1"/>
  <c r="D3" i="1"/>
  <c r="D4" i="1"/>
  <c r="D5" i="1"/>
  <c r="D6" i="1"/>
  <c r="D7" i="1"/>
  <c r="I21" i="1" l="1"/>
  <c r="I22" i="1"/>
</calcChain>
</file>

<file path=xl/sharedStrings.xml><?xml version="1.0" encoding="utf-8"?>
<sst xmlns="http://schemas.openxmlformats.org/spreadsheetml/2006/main" count="38" uniqueCount="37">
  <si>
    <t>Stroboskop</t>
    <phoneticPr fontId="2" type="noConversion"/>
  </si>
  <si>
    <t>Strobskop</t>
    <phoneticPr fontId="2" type="noConversion"/>
  </si>
  <si>
    <t>Laser</t>
    <phoneticPr fontId="2" type="noConversion"/>
  </si>
  <si>
    <t>Fehler: 5</t>
    <phoneticPr fontId="2" type="noConversion"/>
  </si>
  <si>
    <t>Laser</t>
    <phoneticPr fontId="2" type="noConversion"/>
  </si>
  <si>
    <t>Fehler: 2</t>
    <phoneticPr fontId="2" type="noConversion"/>
  </si>
  <si>
    <t>Fehler: 5</t>
    <phoneticPr fontId="2" type="noConversion"/>
  </si>
  <si>
    <t>Fehler: 3</t>
    <phoneticPr fontId="2" type="noConversion"/>
  </si>
  <si>
    <t xml:space="preserve">Mit LINEST() Funktion in Excel bekommt man die Steigung: </t>
  </si>
  <si>
    <t xml:space="preserve">ihre Fehler: </t>
  </si>
  <si>
    <t>ln(Omega/622.53)</t>
  </si>
  <si>
    <t>Fehler: 0.2</t>
  </si>
  <si>
    <r>
      <rPr>
        <sz val="11"/>
        <color theme="1"/>
        <rFont val="Calibri"/>
        <family val="2"/>
      </rPr>
      <t>ωF</t>
    </r>
    <r>
      <rPr>
        <sz val="11"/>
        <color theme="1"/>
        <rFont val="Calibri"/>
        <family val="2"/>
        <charset val="134"/>
        <scheme val="minor"/>
      </rPr>
      <t>(1/s)</t>
    </r>
  </si>
  <si>
    <t>Tp(s)</t>
  </si>
  <si>
    <t>Durchschnitt Omega(r/min)</t>
  </si>
  <si>
    <r>
      <rPr>
        <sz val="11"/>
        <color theme="1"/>
        <rFont val="Calibri"/>
        <family val="2"/>
      </rPr>
      <t>ωE</t>
    </r>
    <r>
      <rPr>
        <sz val="11"/>
        <color theme="1"/>
        <rFont val="Calibri"/>
        <family val="2"/>
        <charset val="134"/>
        <scheme val="minor"/>
      </rPr>
      <t>(1/s)</t>
    </r>
  </si>
  <si>
    <r>
      <rPr>
        <sz val="11"/>
        <color theme="1"/>
        <rFont val="Calibri"/>
        <family val="2"/>
      </rPr>
      <t>ΔωE</t>
    </r>
    <r>
      <rPr>
        <sz val="11"/>
        <color theme="1"/>
        <rFont val="Calibri"/>
        <family val="2"/>
        <charset val="134"/>
        <scheme val="minor"/>
      </rPr>
      <t>(1/s)</t>
    </r>
  </si>
  <si>
    <r>
      <rPr>
        <sz val="11"/>
        <color theme="1"/>
        <rFont val="Calibri"/>
        <family val="2"/>
      </rPr>
      <t>mittelere ωF</t>
    </r>
    <r>
      <rPr>
        <sz val="11"/>
        <color theme="1"/>
        <rFont val="Calibri"/>
        <family val="2"/>
        <charset val="134"/>
        <scheme val="minor"/>
      </rPr>
      <t>(1/s)</t>
    </r>
  </si>
  <si>
    <t>Fehler: 0.31</t>
  </si>
  <si>
    <t>m=1, l=15cm</t>
  </si>
  <si>
    <t>Zeit(m)</t>
  </si>
  <si>
    <t>m=1, l=20cm</t>
  </si>
  <si>
    <t>m=2, l=15cm</t>
  </si>
  <si>
    <t>m=2, l=20cm</t>
  </si>
  <si>
    <t>m</t>
  </si>
  <si>
    <t>l</t>
  </si>
  <si>
    <t>Si</t>
  </si>
  <si>
    <t>Iz</t>
  </si>
  <si>
    <t>Δ Si</t>
  </si>
  <si>
    <r>
      <t>ΔI</t>
    </r>
    <r>
      <rPr>
        <sz val="11"/>
        <color theme="1"/>
        <rFont val="Calibri"/>
        <family val="2"/>
        <charset val="134"/>
      </rPr>
      <t>z</t>
    </r>
  </si>
  <si>
    <t>Frequenz</t>
  </si>
  <si>
    <t>t(10 Umläufe)</t>
  </si>
  <si>
    <t>Ω(2pi/(t/10))(1/s)</t>
  </si>
  <si>
    <t>ωF(1/s)</t>
  </si>
  <si>
    <t>ωF(1/min)</t>
  </si>
  <si>
    <t>ωN(1/min)</t>
  </si>
  <si>
    <t>ωN(1/s)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</si>
</sst>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6" formatCode="0.000"/>
    <numFmt numFmtId="167" formatCode="0.0000000"/>
    <numFmt numFmtId="174" formatCode="0.000000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" fillId="0" borderId="14" xfId="0" applyFont="1" applyBorder="1">
      <alignment vertical="center"/>
    </xf>
    <xf numFmtId="2" fontId="0" fillId="0" borderId="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66" fontId="0" fillId="0" borderId="4" xfId="0" applyNumberForma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166" fontId="0" fillId="0" borderId="8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0" borderId="9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4" fontId="0" fillId="0" borderId="4" xfId="0" applyNumberFormat="1" applyBorder="1">
      <alignment vertical="center"/>
    </xf>
    <xf numFmtId="174" fontId="0" fillId="0" borderId="4" xfId="0" applyNumberFormat="1" applyBorder="1">
      <alignment vertical="center"/>
    </xf>
    <xf numFmtId="0" fontId="3" fillId="0" borderId="7" xfId="0" applyFont="1" applyBorder="1">
      <alignment vertical="center"/>
    </xf>
    <xf numFmtId="164" fontId="0" fillId="0" borderId="8" xfId="0" applyNumberFormat="1" applyBorder="1">
      <alignment vertical="center"/>
    </xf>
    <xf numFmtId="174" fontId="0" fillId="0" borderId="9" xfId="0" applyNumberFormat="1" applyBorder="1">
      <alignment vertical="center"/>
    </xf>
    <xf numFmtId="174" fontId="0" fillId="0" borderId="12" xfId="0" applyNumberFormat="1" applyBorder="1">
      <alignment vertical="center"/>
    </xf>
    <xf numFmtId="167" fontId="0" fillId="0" borderId="9" xfId="0" applyNumberFormat="1" applyBorder="1">
      <alignment vertical="center"/>
    </xf>
    <xf numFmtId="164" fontId="0" fillId="0" borderId="9" xfId="0" applyNumberFormat="1" applyBorder="1">
      <alignment vertical="center"/>
    </xf>
    <xf numFmtId="174" fontId="0" fillId="0" borderId="11" xfId="0" applyNumberFormat="1" applyBorder="1">
      <alignment vertical="center"/>
    </xf>
    <xf numFmtId="0" fontId="3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</a:rPr>
              <a:t>Abbildung 4: Zeitänderung der Drehfrequenz</a:t>
            </a:r>
            <a:endParaRPr lang="zh-CN" altLang="zh-CN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740088643409472E-2"/>
          <c:y val="0.13631007535327203"/>
          <c:w val="0.89507827803521689"/>
          <c:h val="0.785584471629769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944080387494545"/>
                  <c:y val="5.20962118541152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2.7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8.000000000000001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579.25</c:v>
                </c:pt>
                <c:pt idx="1">
                  <c:v>531.54999999999995</c:v>
                </c:pt>
                <c:pt idx="2">
                  <c:v>488.55</c:v>
                </c:pt>
                <c:pt idx="3">
                  <c:v>452.25</c:v>
                </c:pt>
                <c:pt idx="4">
                  <c:v>422.05</c:v>
                </c:pt>
                <c:pt idx="5">
                  <c:v>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5E-4B10-94B4-4173934EFB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-691808784"/>
        <c:axId val="-691814768"/>
      </c:scatterChart>
      <c:valAx>
        <c:axId val="-69180878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Zeit(min)</a:t>
                </a:r>
              </a:p>
            </c:rich>
          </c:tx>
          <c:layout>
            <c:manualLayout>
              <c:xMode val="edge"/>
              <c:yMode val="edge"/>
              <c:x val="0.82669061610967842"/>
              <c:y val="0.886803742050169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1814768"/>
        <c:crosses val="autoZero"/>
        <c:crossBetween val="midCat"/>
      </c:valAx>
      <c:valAx>
        <c:axId val="-691814768"/>
        <c:scaling>
          <c:logBase val="10"/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Drehfrequenz(min^-1)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"/>
              <c:y val="6.44367891513560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180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Abbildung 6 : </a:t>
            </a:r>
            <a:r>
              <a:rPr lang="de-DE" baseline="0"/>
              <a:t> die Umlauffrequenz der momentarenen Drehachse </a:t>
            </a:r>
            <a:r>
              <a:rPr lang="el-GR" sz="1400" b="0" i="0" u="none" strike="noStrike" baseline="0">
                <a:effectLst/>
              </a:rPr>
              <a:t>Ω</a:t>
            </a:r>
            <a:r>
              <a:rPr lang="de-DE" sz="1400" b="0" i="0" u="none" strike="noStrike" baseline="0">
                <a:effectLst/>
              </a:rPr>
              <a:t> </a:t>
            </a:r>
            <a:r>
              <a:rPr lang="de-DE" baseline="0"/>
              <a:t>gengen </a:t>
            </a:r>
            <a:r>
              <a:rPr lang="el-GR" baseline="0"/>
              <a:t>ω</a:t>
            </a:r>
            <a:r>
              <a:rPr lang="de-DE" baseline="0"/>
              <a:t>F 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25745577836766E-2"/>
          <c:y val="0.22803714764822389"/>
          <c:w val="0.89976065668845229"/>
          <c:h val="0.6889920169676683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3088363954505689E-3"/>
                  <c:y val="0.24703302712160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Sheet1!$B$52:$K$52</c:f>
              <c:numCache>
                <c:formatCode>General</c:formatCode>
                <c:ptCount val="10"/>
                <c:pt idx="0">
                  <c:v>32.463124087094528</c:v>
                </c:pt>
                <c:pt idx="1">
                  <c:v>35.604716740684324</c:v>
                </c:pt>
                <c:pt idx="2">
                  <c:v>38.746309394274114</c:v>
                </c:pt>
                <c:pt idx="3">
                  <c:v>41.887902047863911</c:v>
                </c:pt>
                <c:pt idx="4">
                  <c:v>45.0294947014537</c:v>
                </c:pt>
                <c:pt idx="5">
                  <c:v>48.171087355043497</c:v>
                </c:pt>
                <c:pt idx="6">
                  <c:v>51.312680008633286</c:v>
                </c:pt>
                <c:pt idx="7">
                  <c:v>54.454272662223076</c:v>
                </c:pt>
                <c:pt idx="8">
                  <c:v>57.595865315812873</c:v>
                </c:pt>
                <c:pt idx="9">
                  <c:v>60.737457969402662</c:v>
                </c:pt>
              </c:numCache>
            </c:numRef>
          </c:xVal>
          <c:yVal>
            <c:numRef>
              <c:f>Sheet1!$B$54:$K$54</c:f>
              <c:numCache>
                <c:formatCode>General</c:formatCode>
                <c:ptCount val="10"/>
                <c:pt idx="0">
                  <c:v>2.0627660233682161</c:v>
                </c:pt>
                <c:pt idx="1">
                  <c:v>2.3638770907372408</c:v>
                </c:pt>
                <c:pt idx="2">
                  <c:v>2.4240684055476795</c:v>
                </c:pt>
                <c:pt idx="3">
                  <c:v>2.6920245532046212</c:v>
                </c:pt>
                <c:pt idx="4">
                  <c:v>2.9443230117992436</c:v>
                </c:pt>
                <c:pt idx="5">
                  <c:v>3.0530540851212762</c:v>
                </c:pt>
                <c:pt idx="6">
                  <c:v>3.2690870484805341</c:v>
                </c:pt>
                <c:pt idx="7">
                  <c:v>3.4829186846893494</c:v>
                </c:pt>
                <c:pt idx="8">
                  <c:v>3.6445390412874632</c:v>
                </c:pt>
                <c:pt idx="9">
                  <c:v>3.8689564699381691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02-4D09-9CA7-49EBF08ED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497464"/>
        <c:axId val="472498120"/>
      </c:scatterChart>
      <c:valAx>
        <c:axId val="472497464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de-DE"/>
                  <a:t>F(s^-1)</a:t>
                </a:r>
              </a:p>
            </c:rich>
          </c:tx>
          <c:layout>
            <c:manualLayout>
              <c:xMode val="edge"/>
              <c:yMode val="edge"/>
              <c:x val="0.84112935245700515"/>
              <c:y val="0.87920157470760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98120"/>
        <c:crosses val="autoZero"/>
        <c:crossBetween val="midCat"/>
      </c:valAx>
      <c:valAx>
        <c:axId val="47249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Ω</a:t>
                </a:r>
                <a:r>
                  <a:rPr lang="de-DE" baseline="0"/>
                  <a:t>(s^-1)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2.5110080078517099E-2"/>
              <c:y val="3.5984854604127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97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Abbidlung 7 : </a:t>
            </a:r>
            <a:r>
              <a:rPr lang="el-GR"/>
              <a:t>ω</a:t>
            </a:r>
            <a:r>
              <a:rPr lang="de-DE"/>
              <a:t>N gegen </a:t>
            </a:r>
            <a:r>
              <a:rPr lang="el-GR"/>
              <a:t>ω</a:t>
            </a:r>
            <a:r>
              <a:rPr lang="de-DE"/>
              <a:t>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6"/>
          <c:w val="0.84240507436570433"/>
          <c:h val="0.724568022747156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6407261592300965E-2"/>
                  <c:y val="0.35984324876057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Sheet1!$B$57:$K$57</c:f>
              <c:numCache>
                <c:formatCode>General</c:formatCode>
                <c:ptCount val="10"/>
                <c:pt idx="0">
                  <c:v>32.463124087094528</c:v>
                </c:pt>
                <c:pt idx="1">
                  <c:v>35.604716740684324</c:v>
                </c:pt>
                <c:pt idx="2">
                  <c:v>38.746309394274114</c:v>
                </c:pt>
                <c:pt idx="3">
                  <c:v>41.887902047863911</c:v>
                </c:pt>
                <c:pt idx="4">
                  <c:v>45.0294947014537</c:v>
                </c:pt>
                <c:pt idx="5">
                  <c:v>48.171087355043497</c:v>
                </c:pt>
                <c:pt idx="6">
                  <c:v>51.312680008633286</c:v>
                </c:pt>
                <c:pt idx="7">
                  <c:v>54.454272662223076</c:v>
                </c:pt>
                <c:pt idx="8">
                  <c:v>57.595865315812873</c:v>
                </c:pt>
                <c:pt idx="9">
                  <c:v>60.737457969402662</c:v>
                </c:pt>
              </c:numCache>
            </c:numRef>
          </c:xVal>
          <c:yVal>
            <c:numRef>
              <c:f>Sheet1!$B$59:$K$59</c:f>
              <c:numCache>
                <c:formatCode>General</c:formatCode>
                <c:ptCount val="10"/>
                <c:pt idx="0">
                  <c:v>30.368728984701331</c:v>
                </c:pt>
                <c:pt idx="1">
                  <c:v>33.510321638291124</c:v>
                </c:pt>
                <c:pt idx="2">
                  <c:v>36.128315516282619</c:v>
                </c:pt>
                <c:pt idx="3">
                  <c:v>39.269908169872416</c:v>
                </c:pt>
                <c:pt idx="4">
                  <c:v>41.887902047863911</c:v>
                </c:pt>
                <c:pt idx="5">
                  <c:v>45.553093477052002</c:v>
                </c:pt>
                <c:pt idx="6">
                  <c:v>48.171087355043497</c:v>
                </c:pt>
                <c:pt idx="7">
                  <c:v>51.312680008633286</c:v>
                </c:pt>
                <c:pt idx="8">
                  <c:v>53.407075111026487</c:v>
                </c:pt>
                <c:pt idx="9">
                  <c:v>56.548667764616276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F-4B08-AFB2-9AA158935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640288"/>
        <c:axId val="482636680"/>
      </c:scatterChart>
      <c:valAx>
        <c:axId val="48264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de-DE"/>
                  <a:t>F(s^-1)</a:t>
                </a:r>
              </a:p>
            </c:rich>
          </c:tx>
          <c:layout>
            <c:manualLayout>
              <c:xMode val="edge"/>
              <c:yMode val="edge"/>
              <c:x val="0.85413079615048115"/>
              <c:y val="0.84627296587926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36680"/>
        <c:crosses val="autoZero"/>
        <c:crossBetween val="midCat"/>
      </c:valAx>
      <c:valAx>
        <c:axId val="4826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de-DE"/>
                  <a:t>N(s^-1)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2543197725284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4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Abbildung</a:t>
            </a:r>
            <a:r>
              <a:rPr lang="en-GB" baseline="0"/>
              <a:t> 5: Tp gegen mittere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ω</a:t>
            </a:r>
            <a:r>
              <a:rPr lang="de-DE" baseline="0">
                <a:latin typeface="Calibri" panose="020F0502020204030204" pitchFamily="34" charset="0"/>
                <a:cs typeface="Calibri" panose="020F0502020204030204" pitchFamily="34" charset="0"/>
              </a:rPr>
              <a:t>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763026818171154E-2"/>
          <c:y val="0.10721634770154076"/>
          <c:w val="0.86043153565913633"/>
          <c:h val="0.71704498815313955"/>
        </c:manualLayout>
      </c:layout>
      <c:scatterChart>
        <c:scatterStyle val="lineMarker"/>
        <c:varyColors val="0"/>
        <c:ser>
          <c:idx val="0"/>
          <c:order val="0"/>
          <c:tx>
            <c:v>m=1, l=15cm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Sheet1!$I$14:$I$17</c:f>
              <c:numCache>
                <c:formatCode>0.000</c:formatCode>
                <c:ptCount val="4"/>
                <c:pt idx="0">
                  <c:v>69.406547287255805</c:v>
                </c:pt>
                <c:pt idx="1">
                  <c:v>59.764944229660017</c:v>
                </c:pt>
                <c:pt idx="2">
                  <c:v>37.787884270588378</c:v>
                </c:pt>
                <c:pt idx="3">
                  <c:v>26.047145012125302</c:v>
                </c:pt>
              </c:numCache>
            </c:numRef>
          </c:xVal>
          <c:yVal>
            <c:numRef>
              <c:f>Sheet1!$F$14:$F$17</c:f>
              <c:numCache>
                <c:formatCode>General</c:formatCode>
                <c:ptCount val="4"/>
                <c:pt idx="0">
                  <c:v>105.5</c:v>
                </c:pt>
                <c:pt idx="1">
                  <c:v>90.53</c:v>
                </c:pt>
                <c:pt idx="2">
                  <c:v>56.73</c:v>
                </c:pt>
                <c:pt idx="3">
                  <c:v>40.43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6A-4B50-BFEC-34B115836611}"/>
            </c:ext>
          </c:extLst>
        </c:ser>
        <c:ser>
          <c:idx val="1"/>
          <c:order val="1"/>
          <c:tx>
            <c:v>m=1, l=20cm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Sheet1!$I$18:$I$21</c:f>
              <c:numCache>
                <c:formatCode>0.000</c:formatCode>
                <c:ptCount val="4"/>
                <c:pt idx="0">
                  <c:v>68.30030734387455</c:v>
                </c:pt>
                <c:pt idx="1">
                  <c:v>48.413815388431949</c:v>
                </c:pt>
                <c:pt idx="2">
                  <c:v>44.422199265321709</c:v>
                </c:pt>
                <c:pt idx="3">
                  <c:v>33.952245030786372</c:v>
                </c:pt>
              </c:numCache>
            </c:numRef>
          </c:xVal>
          <c:yVal>
            <c:numRef>
              <c:f>Sheet1!$F$18:$F$21</c:f>
              <c:numCache>
                <c:formatCode>General</c:formatCode>
                <c:ptCount val="4"/>
                <c:pt idx="0">
                  <c:v>81.540000000000006</c:v>
                </c:pt>
                <c:pt idx="1">
                  <c:v>57.79</c:v>
                </c:pt>
                <c:pt idx="2">
                  <c:v>52.95</c:v>
                </c:pt>
                <c:pt idx="3">
                  <c:v>40.619999999999997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6A-4B50-BFEC-34B115836611}"/>
            </c:ext>
          </c:extLst>
        </c:ser>
        <c:ser>
          <c:idx val="2"/>
          <c:order val="2"/>
          <c:tx>
            <c:v>m=2, l=15cm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Sheet1!$I$22:$I$25</c:f>
              <c:numCache>
                <c:formatCode>0.000</c:formatCode>
                <c:ptCount val="4"/>
                <c:pt idx="0">
                  <c:v>70.407158204417343</c:v>
                </c:pt>
                <c:pt idx="1">
                  <c:v>60.443672375873831</c:v>
                </c:pt>
                <c:pt idx="2">
                  <c:v>43.364598129338759</c:v>
                </c:pt>
                <c:pt idx="3">
                  <c:v>33.107239243986939</c:v>
                </c:pt>
              </c:numCache>
            </c:numRef>
          </c:xVal>
          <c:yVal>
            <c:numRef>
              <c:f>Sheet1!$F$22:$F$25</c:f>
              <c:numCache>
                <c:formatCode>General</c:formatCode>
                <c:ptCount val="4"/>
                <c:pt idx="0">
                  <c:v>57.95</c:v>
                </c:pt>
                <c:pt idx="1">
                  <c:v>49.61</c:v>
                </c:pt>
                <c:pt idx="2">
                  <c:v>36.4</c:v>
                </c:pt>
                <c:pt idx="3">
                  <c:v>27.73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6A-4B50-BFEC-34B115836611}"/>
            </c:ext>
          </c:extLst>
        </c:ser>
        <c:ser>
          <c:idx val="3"/>
          <c:order val="3"/>
          <c:tx>
            <c:v>m=2, l=20cm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2.8081194591110081E-2"/>
                  <c:y val="7.54328552725930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Sheet1!$I$26:$I$29</c:f>
              <c:numCache>
                <c:formatCode>0.000</c:formatCode>
                <c:ptCount val="4"/>
                <c:pt idx="0">
                  <c:v>60.749541061540818</c:v>
                </c:pt>
                <c:pt idx="1">
                  <c:v>48.715931845104322</c:v>
                </c:pt>
                <c:pt idx="2">
                  <c:v>35.188950200792938</c:v>
                </c:pt>
                <c:pt idx="3">
                  <c:v>28.262771558596686</c:v>
                </c:pt>
              </c:numCache>
            </c:numRef>
          </c:xVal>
          <c:yVal>
            <c:numRef>
              <c:f>Sheet1!$F$26:$F$29</c:f>
              <c:numCache>
                <c:formatCode>General</c:formatCode>
                <c:ptCount val="4"/>
                <c:pt idx="0">
                  <c:v>39.17</c:v>
                </c:pt>
                <c:pt idx="1">
                  <c:v>31.73</c:v>
                </c:pt>
                <c:pt idx="2">
                  <c:v>22.62</c:v>
                </c:pt>
                <c:pt idx="3">
                  <c:v>18.36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6A-4B50-BFEC-34B11583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2792"/>
        <c:axId val="509803120"/>
      </c:scatterChart>
      <c:valAx>
        <c:axId val="50980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Mittelere</a:t>
                </a:r>
                <a:r>
                  <a:rPr lang="en-GB" baseline="0"/>
                  <a:t> Frequenz (1/s)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03120"/>
        <c:crosses val="autoZero"/>
        <c:crossBetween val="midCat"/>
      </c:valAx>
      <c:valAx>
        <c:axId val="5098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</a:t>
                </a:r>
                <a:r>
                  <a:rPr lang="en-GB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02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2930051328222643E-2"/>
          <c:y val="0.10437048341361609"/>
          <c:w val="0.28958391410804341"/>
          <c:h val="0.5343044756918875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656167</xdr:colOff>
      <xdr:row>76</xdr:row>
      <xdr:rowOff>50801</xdr:rowOff>
    </xdr:from>
    <xdr:to>
      <xdr:col>10</xdr:col>
      <xdr:colOff>618066</xdr:colOff>
      <xdr:row>93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75</xdr:row>
      <xdr:rowOff>88899</xdr:rowOff>
    </xdr:from>
    <xdr:to>
      <xdr:col>5</xdr:col>
      <xdr:colOff>664634</xdr:colOff>
      <xdr:row>93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F909AE-BF2E-4656-987E-C50272230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</xdr:colOff>
      <xdr:row>59</xdr:row>
      <xdr:rowOff>93133</xdr:rowOff>
    </xdr:from>
    <xdr:to>
      <xdr:col>7</xdr:col>
      <xdr:colOff>29633</xdr:colOff>
      <xdr:row>74</xdr:row>
      <xdr:rowOff>105833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F9C600-0555-48A3-837E-4EDBB705E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63498</xdr:colOff>
      <xdr:row>31</xdr:row>
      <xdr:rowOff>29633</xdr:rowOff>
    </xdr:from>
    <xdr:to>
      <xdr:col>8</xdr:col>
      <xdr:colOff>486834</xdr:colOff>
      <xdr:row>48</xdr:row>
      <xdr:rowOff>143933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8B0E22-6E40-4BDB-9D41-2F3E8AEE6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1" workbookViewId="0">
      <selection activeCell="J65" sqref="J65"/>
    </sheetView>
  </sheetViews>
  <sheetFormatPr defaultRowHeight="14.35"/>
  <cols>
    <col min="1" max="1" width="8.234375" customWidth="1"/>
    <col min="2" max="2" width="7.87890625" customWidth="1"/>
    <col min="5" max="5" width="10.87890625" customWidth="1"/>
    <col min="6" max="6" width="9.46875" customWidth="1"/>
  </cols>
  <sheetData>
    <row r="1" spans="1:10">
      <c r="A1" s="2" t="s">
        <v>20</v>
      </c>
      <c r="B1" s="3" t="s">
        <v>0</v>
      </c>
      <c r="C1" s="3" t="s">
        <v>4</v>
      </c>
      <c r="D1" s="3" t="s">
        <v>14</v>
      </c>
      <c r="E1" s="3"/>
      <c r="F1" s="4" t="s">
        <v>10</v>
      </c>
    </row>
    <row r="2" spans="1:10">
      <c r="A2" s="5">
        <v>2</v>
      </c>
      <c r="B2" s="1">
        <v>580</v>
      </c>
      <c r="C2" s="1">
        <v>578.5</v>
      </c>
      <c r="D2" s="1">
        <f t="shared" ref="D2:D7" si="0">(B2+C2)/2</f>
        <v>579.25</v>
      </c>
      <c r="E2" s="1"/>
      <c r="F2" s="6">
        <f>LN(C2/622.53)</f>
        <v>-7.3353273314981399E-2</v>
      </c>
    </row>
    <row r="3" spans="1:10">
      <c r="A3" s="5">
        <v>4</v>
      </c>
      <c r="B3" s="1">
        <v>530</v>
      </c>
      <c r="C3" s="1">
        <v>533.1</v>
      </c>
      <c r="D3" s="1">
        <f t="shared" si="0"/>
        <v>531.54999999999995</v>
      </c>
      <c r="E3" s="1"/>
      <c r="F3" s="6">
        <f t="shared" ref="F3:F7" si="1">LN(C3/622.53)</f>
        <v>-0.15508279611999731</v>
      </c>
    </row>
    <row r="4" spans="1:10">
      <c r="A4" s="5">
        <v>6</v>
      </c>
      <c r="B4" s="1">
        <v>490</v>
      </c>
      <c r="C4" s="1">
        <v>487.1</v>
      </c>
      <c r="D4" s="1">
        <f t="shared" si="0"/>
        <v>488.55</v>
      </c>
      <c r="E4" s="1"/>
      <c r="F4" s="6">
        <f t="shared" si="1"/>
        <v>-0.2453223791362156</v>
      </c>
    </row>
    <row r="5" spans="1:10">
      <c r="A5" s="5">
        <v>8</v>
      </c>
      <c r="B5" s="1">
        <v>450</v>
      </c>
      <c r="C5" s="1">
        <v>454.5</v>
      </c>
      <c r="D5" s="1">
        <f t="shared" si="0"/>
        <v>452.25</v>
      </c>
      <c r="E5" s="1"/>
      <c r="F5" s="6">
        <f t="shared" si="1"/>
        <v>-0.31459390633117917</v>
      </c>
    </row>
    <row r="6" spans="1:10">
      <c r="A6" s="5">
        <v>10</v>
      </c>
      <c r="B6" s="1">
        <v>420</v>
      </c>
      <c r="C6" s="1">
        <v>424.1</v>
      </c>
      <c r="D6" s="1">
        <f t="shared" si="0"/>
        <v>422.05</v>
      </c>
      <c r="E6" s="1"/>
      <c r="F6" s="6">
        <f t="shared" si="1"/>
        <v>-0.38382254346816758</v>
      </c>
    </row>
    <row r="7" spans="1:10">
      <c r="A7" s="5">
        <v>12</v>
      </c>
      <c r="B7" s="1">
        <v>390</v>
      </c>
      <c r="C7" s="1">
        <v>390</v>
      </c>
      <c r="D7" s="1">
        <f t="shared" si="0"/>
        <v>390</v>
      </c>
      <c r="E7" s="1"/>
      <c r="F7" s="6">
        <f t="shared" si="1"/>
        <v>-0.4676450808250206</v>
      </c>
    </row>
    <row r="8" spans="1:10">
      <c r="A8" s="5"/>
      <c r="B8" s="1" t="s">
        <v>3</v>
      </c>
      <c r="C8" s="1" t="s">
        <v>5</v>
      </c>
      <c r="D8" s="1"/>
      <c r="E8" s="1"/>
      <c r="F8" s="6"/>
    </row>
    <row r="9" spans="1:10">
      <c r="A9" s="5"/>
      <c r="B9" s="1"/>
      <c r="C9" s="1"/>
      <c r="D9" s="1"/>
      <c r="E9" s="1"/>
      <c r="F9" s="6"/>
    </row>
    <row r="10" spans="1:10">
      <c r="A10" s="5" t="s">
        <v>8</v>
      </c>
      <c r="B10" s="1"/>
      <c r="C10" s="1"/>
      <c r="D10" s="1"/>
      <c r="E10" s="1"/>
      <c r="F10" s="6">
        <f t="array" ref="F10:F11">LINEST(F2:F7,A2:A7,TRUE,TRUE)</f>
        <v>-3.8956425811281011E-2</v>
      </c>
    </row>
    <row r="11" spans="1:10" ht="14.7" thickBot="1">
      <c r="A11" s="7"/>
      <c r="B11" s="8"/>
      <c r="C11" s="8"/>
      <c r="D11" s="8"/>
      <c r="E11" s="8" t="s">
        <v>9</v>
      </c>
      <c r="F11" s="9">
        <v>8.344372018770428E-4</v>
      </c>
    </row>
    <row r="12" spans="1:10" ht="14.7" thickBot="1"/>
    <row r="13" spans="1:10" ht="14.7" thickBot="1">
      <c r="A13" s="10"/>
      <c r="B13" s="11"/>
      <c r="C13" s="11" t="s">
        <v>1</v>
      </c>
      <c r="D13" s="11" t="s">
        <v>2</v>
      </c>
      <c r="E13" s="14" t="s">
        <v>12</v>
      </c>
      <c r="F13" s="16" t="s">
        <v>13</v>
      </c>
      <c r="G13" s="22" t="s">
        <v>15</v>
      </c>
      <c r="H13" s="23" t="s">
        <v>16</v>
      </c>
      <c r="I13" s="23" t="s">
        <v>17</v>
      </c>
      <c r="J13" s="4"/>
    </row>
    <row r="14" spans="1:10" ht="14.7" thickBot="1">
      <c r="A14" s="27" t="s">
        <v>19</v>
      </c>
      <c r="B14" s="28"/>
      <c r="C14" s="3">
        <v>690</v>
      </c>
      <c r="D14" s="3">
        <v>681</v>
      </c>
      <c r="E14" s="15">
        <f>(C14+D14)/120*2*PI()</f>
        <v>71.785392134526774</v>
      </c>
      <c r="F14" s="17">
        <v>105.5</v>
      </c>
      <c r="G14" s="24">
        <f>E14*EXP(-0.039*F14/60)</f>
        <v>67.027702439984836</v>
      </c>
      <c r="H14" s="25">
        <f>G14*SQRT((0.039*0.2/60)^2 + (0.31/E14)^2)</f>
        <v>0.28958538822092311</v>
      </c>
      <c r="I14" s="21">
        <f>(E14+G14)/2</f>
        <v>69.406547287255805</v>
      </c>
      <c r="J14" s="26">
        <f>SQRT(0.31^2+H14^2)/2</f>
        <v>0.212108284297822</v>
      </c>
    </row>
    <row r="15" spans="1:10" ht="14.7" thickBot="1">
      <c r="A15" s="29"/>
      <c r="B15" s="30"/>
      <c r="C15" s="1">
        <v>590</v>
      </c>
      <c r="D15" s="1">
        <v>585</v>
      </c>
      <c r="E15" s="15">
        <f t="shared" ref="E15:E29" si="2">(C15+D15)/120*2*PI()</f>
        <v>61.522856132800115</v>
      </c>
      <c r="F15" s="18">
        <v>90.53</v>
      </c>
      <c r="G15" s="24">
        <f t="shared" ref="G15:G29" si="3">E15*EXP(-0.039*F15/60)</f>
        <v>58.007032326519912</v>
      </c>
      <c r="H15" s="25">
        <f t="shared" ref="H15:H29" si="4">G15*SQRT((0.039*0.2/60)^2 + (0.31/E15)^2)</f>
        <v>0.29238180641356754</v>
      </c>
      <c r="I15" s="21">
        <f t="shared" ref="I15:I29" si="5">(E15+G15)/2</f>
        <v>59.764944229660017</v>
      </c>
      <c r="J15" s="26">
        <f t="shared" ref="J15:J29" si="6">SQRT(0.31^2+H15^2)/2</f>
        <v>0.21306520171162446</v>
      </c>
    </row>
    <row r="16" spans="1:10" ht="14.7" thickBot="1">
      <c r="A16" s="29"/>
      <c r="B16" s="30"/>
      <c r="C16" s="1">
        <v>370</v>
      </c>
      <c r="D16" s="1">
        <v>365</v>
      </c>
      <c r="E16" s="15">
        <f t="shared" si="2"/>
        <v>38.484510006474963</v>
      </c>
      <c r="F16" s="18">
        <v>56.73</v>
      </c>
      <c r="G16" s="24">
        <f t="shared" si="3"/>
        <v>37.091258534701794</v>
      </c>
      <c r="H16" s="25">
        <f t="shared" si="4"/>
        <v>0.29881600281966009</v>
      </c>
      <c r="I16" s="21">
        <f t="shared" si="5"/>
        <v>37.787884270588378</v>
      </c>
      <c r="J16" s="26">
        <f t="shared" si="6"/>
        <v>0.21528527791114693</v>
      </c>
    </row>
    <row r="17" spans="1:10" ht="14.7" thickBot="1">
      <c r="A17" s="31"/>
      <c r="B17" s="32"/>
      <c r="C17" s="8">
        <v>250</v>
      </c>
      <c r="D17" s="8">
        <v>254</v>
      </c>
      <c r="E17" s="15">
        <f t="shared" si="2"/>
        <v>26.389378290154262</v>
      </c>
      <c r="F17" s="19">
        <v>40.43</v>
      </c>
      <c r="G17" s="24">
        <f t="shared" si="3"/>
        <v>25.704911734096342</v>
      </c>
      <c r="H17" s="25">
        <f t="shared" si="4"/>
        <v>0.30197795788945653</v>
      </c>
      <c r="I17" s="21">
        <f t="shared" si="5"/>
        <v>26.047145012125302</v>
      </c>
      <c r="J17" s="26">
        <f t="shared" si="6"/>
        <v>0.21638547031344685</v>
      </c>
    </row>
    <row r="18" spans="1:10" ht="14.7" thickBot="1">
      <c r="A18" s="27" t="s">
        <v>21</v>
      </c>
      <c r="B18" s="28"/>
      <c r="C18" s="3">
        <v>670</v>
      </c>
      <c r="D18" s="3">
        <v>669</v>
      </c>
      <c r="E18" s="15">
        <f t="shared" si="2"/>
        <v>70.109876052612222</v>
      </c>
      <c r="F18" s="17">
        <v>81.540000000000006</v>
      </c>
      <c r="G18" s="24">
        <f t="shared" si="3"/>
        <v>66.490738635136879</v>
      </c>
      <c r="H18" s="25">
        <f t="shared" si="4"/>
        <v>0.29412455018330508</v>
      </c>
      <c r="I18" s="21">
        <f t="shared" si="5"/>
        <v>68.30030734387455</v>
      </c>
      <c r="J18" s="26">
        <f t="shared" si="6"/>
        <v>0.21366401839133534</v>
      </c>
    </row>
    <row r="19" spans="1:10" ht="14.7" thickBot="1">
      <c r="A19" s="29"/>
      <c r="B19" s="30"/>
      <c r="C19" s="1">
        <v>470</v>
      </c>
      <c r="D19" s="1">
        <v>472</v>
      </c>
      <c r="E19" s="15">
        <f t="shared" si="2"/>
        <v>49.323004661359747</v>
      </c>
      <c r="F19" s="18">
        <v>57.79</v>
      </c>
      <c r="G19" s="24">
        <f t="shared" si="3"/>
        <v>47.504626115504152</v>
      </c>
      <c r="H19" s="25">
        <f t="shared" si="4"/>
        <v>0.29863517036143911</v>
      </c>
      <c r="I19" s="21">
        <f t="shared" si="5"/>
        <v>48.413815388431949</v>
      </c>
      <c r="J19" s="26">
        <f t="shared" si="6"/>
        <v>0.21522253888522327</v>
      </c>
    </row>
    <row r="20" spans="1:10" ht="14.7" thickBot="1">
      <c r="A20" s="29"/>
      <c r="B20" s="30"/>
      <c r="C20" s="1">
        <v>430</v>
      </c>
      <c r="D20" s="1">
        <v>433</v>
      </c>
      <c r="E20" s="15">
        <f t="shared" si="2"/>
        <v>45.186574334133191</v>
      </c>
      <c r="F20" s="18">
        <v>52.95</v>
      </c>
      <c r="G20" s="24">
        <f t="shared" si="3"/>
        <v>43.657824196510234</v>
      </c>
      <c r="H20" s="25">
        <f t="shared" si="4"/>
        <v>0.29956586248418932</v>
      </c>
      <c r="I20" s="21">
        <f t="shared" si="5"/>
        <v>44.422199265321709</v>
      </c>
      <c r="J20" s="26">
        <f t="shared" si="6"/>
        <v>0.21554564827774661</v>
      </c>
    </row>
    <row r="21" spans="1:10" ht="14.7" thickBot="1">
      <c r="A21" s="31"/>
      <c r="B21" s="32"/>
      <c r="C21" s="8">
        <v>330</v>
      </c>
      <c r="D21" s="8">
        <v>327</v>
      </c>
      <c r="E21" s="15">
        <f t="shared" si="2"/>
        <v>34.40043955680823</v>
      </c>
      <c r="F21" s="19">
        <v>40.619999999999997</v>
      </c>
      <c r="G21" s="24">
        <f t="shared" si="3"/>
        <v>33.504050504764507</v>
      </c>
      <c r="H21" s="25">
        <f t="shared" si="4"/>
        <v>0.30195359337869782</v>
      </c>
      <c r="I21" s="21">
        <f t="shared" si="5"/>
        <v>33.952245030786372</v>
      </c>
      <c r="J21" s="26">
        <f t="shared" si="6"/>
        <v>0.2163769699819669</v>
      </c>
    </row>
    <row r="22" spans="1:10" ht="14.7" thickBot="1">
      <c r="A22" s="27" t="s">
        <v>22</v>
      </c>
      <c r="B22" s="28"/>
      <c r="C22" s="3">
        <v>690</v>
      </c>
      <c r="D22" s="3">
        <v>680</v>
      </c>
      <c r="E22" s="15">
        <f t="shared" si="2"/>
        <v>71.733032256966936</v>
      </c>
      <c r="F22" s="17">
        <v>57.95</v>
      </c>
      <c r="G22" s="24">
        <f t="shared" si="3"/>
        <v>69.081284151867749</v>
      </c>
      <c r="H22" s="25">
        <f t="shared" si="4"/>
        <v>0.29867530415322557</v>
      </c>
      <c r="I22" s="21">
        <f t="shared" si="5"/>
        <v>70.407158204417343</v>
      </c>
      <c r="J22" s="26">
        <f t="shared" si="6"/>
        <v>0.21523646142732289</v>
      </c>
    </row>
    <row r="23" spans="1:10" ht="14.7" thickBot="1">
      <c r="A23" s="29"/>
      <c r="B23" s="30"/>
      <c r="C23" s="1">
        <v>590</v>
      </c>
      <c r="D23" s="1">
        <v>583</v>
      </c>
      <c r="E23" s="15">
        <f t="shared" si="2"/>
        <v>61.418136377680455</v>
      </c>
      <c r="F23" s="18">
        <v>49.61</v>
      </c>
      <c r="G23" s="24">
        <f t="shared" si="3"/>
        <v>59.469208374067208</v>
      </c>
      <c r="H23" s="25">
        <f t="shared" si="4"/>
        <v>0.30026258438126929</v>
      </c>
      <c r="I23" s="21">
        <f t="shared" si="5"/>
        <v>60.443672375873831</v>
      </c>
      <c r="J23" s="26">
        <f t="shared" si="6"/>
        <v>0.21578787012904529</v>
      </c>
    </row>
    <row r="24" spans="1:10" ht="14.7" thickBot="1">
      <c r="A24" s="29"/>
      <c r="B24" s="30"/>
      <c r="C24" s="1">
        <v>420</v>
      </c>
      <c r="D24" s="1">
        <v>418</v>
      </c>
      <c r="E24" s="15">
        <f t="shared" si="2"/>
        <v>43.877577395137443</v>
      </c>
      <c r="F24" s="18">
        <v>36.4</v>
      </c>
      <c r="G24" s="24">
        <f t="shared" si="3"/>
        <v>42.851618863540075</v>
      </c>
      <c r="H24" s="25">
        <f t="shared" si="4"/>
        <v>0.30280273499696386</v>
      </c>
      <c r="I24" s="21">
        <f t="shared" si="5"/>
        <v>43.364598129338759</v>
      </c>
      <c r="J24" s="26">
        <f t="shared" si="6"/>
        <v>0.21667342725957511</v>
      </c>
    </row>
    <row r="25" spans="1:10" ht="14.7" thickBot="1">
      <c r="A25" s="31"/>
      <c r="B25" s="32"/>
      <c r="C25" s="8">
        <v>320</v>
      </c>
      <c r="D25" s="8">
        <v>318</v>
      </c>
      <c r="E25" s="15">
        <f t="shared" si="2"/>
        <v>33.405601883171464</v>
      </c>
      <c r="F25" s="19">
        <v>27.73</v>
      </c>
      <c r="G25" s="24">
        <f t="shared" si="3"/>
        <v>32.808876604802421</v>
      </c>
      <c r="H25" s="25">
        <f t="shared" si="4"/>
        <v>0.30449233398991804</v>
      </c>
      <c r="I25" s="21">
        <f t="shared" si="5"/>
        <v>33.107239243986939</v>
      </c>
      <c r="J25" s="26">
        <f t="shared" si="6"/>
        <v>0.217264574573622</v>
      </c>
    </row>
    <row r="26" spans="1:10" ht="14.7" thickBot="1">
      <c r="A26" s="27" t="s">
        <v>23</v>
      </c>
      <c r="B26" s="28"/>
      <c r="C26" s="3">
        <v>590</v>
      </c>
      <c r="D26" s="3">
        <v>585</v>
      </c>
      <c r="E26" s="15">
        <f t="shared" si="2"/>
        <v>61.522856132800115</v>
      </c>
      <c r="F26" s="17">
        <v>39.17</v>
      </c>
      <c r="G26" s="24">
        <f t="shared" si="3"/>
        <v>59.97622599028152</v>
      </c>
      <c r="H26" s="25">
        <f t="shared" si="4"/>
        <v>0.30230743745340172</v>
      </c>
      <c r="I26" s="21">
        <f t="shared" si="5"/>
        <v>60.749541061540818</v>
      </c>
      <c r="J26" s="26">
        <f t="shared" si="6"/>
        <v>0.2165004542371923</v>
      </c>
    </row>
    <row r="27" spans="1:10" ht="14.7" thickBot="1">
      <c r="A27" s="29"/>
      <c r="B27" s="30"/>
      <c r="C27" s="1">
        <v>470</v>
      </c>
      <c r="D27" s="1">
        <v>470</v>
      </c>
      <c r="E27" s="15">
        <f t="shared" si="2"/>
        <v>49.218284906240093</v>
      </c>
      <c r="F27" s="18">
        <v>31.73</v>
      </c>
      <c r="G27" s="24">
        <f t="shared" si="3"/>
        <v>48.213578783968543</v>
      </c>
      <c r="H27" s="25">
        <f t="shared" si="4"/>
        <v>0.30373656262142595</v>
      </c>
      <c r="I27" s="21">
        <f t="shared" si="5"/>
        <v>48.715931845104322</v>
      </c>
      <c r="J27" s="26">
        <f t="shared" si="6"/>
        <v>0.21699994209277995</v>
      </c>
    </row>
    <row r="28" spans="1:10" ht="14.7" thickBot="1">
      <c r="A28" s="29"/>
      <c r="B28" s="30"/>
      <c r="C28" s="1">
        <v>340</v>
      </c>
      <c r="D28" s="1">
        <v>337</v>
      </c>
      <c r="E28" s="15">
        <f t="shared" si="2"/>
        <v>35.447637108004834</v>
      </c>
      <c r="F28" s="18">
        <v>22.62</v>
      </c>
      <c r="G28" s="24">
        <f t="shared" si="3"/>
        <v>34.930263293581042</v>
      </c>
      <c r="H28" s="25">
        <f t="shared" si="4"/>
        <v>0.3055091629464069</v>
      </c>
      <c r="I28" s="21">
        <f t="shared" si="5"/>
        <v>35.188950200792938</v>
      </c>
      <c r="J28" s="26">
        <f t="shared" si="6"/>
        <v>0.21762114364430113</v>
      </c>
    </row>
    <row r="29" spans="1:10" ht="14.7" thickBot="1">
      <c r="A29" s="31"/>
      <c r="B29" s="32"/>
      <c r="C29" s="8">
        <v>270</v>
      </c>
      <c r="D29" s="8">
        <v>273</v>
      </c>
      <c r="E29" s="15">
        <f t="shared" si="2"/>
        <v>28.431413514987629</v>
      </c>
      <c r="F29" s="19">
        <v>18.36</v>
      </c>
      <c r="G29" s="24">
        <f t="shared" si="3"/>
        <v>28.094129602205744</v>
      </c>
      <c r="H29" s="25">
        <f t="shared" si="4"/>
        <v>0.30634421936544109</v>
      </c>
      <c r="I29" s="21">
        <f t="shared" si="5"/>
        <v>28.262771558596686</v>
      </c>
      <c r="J29" s="26">
        <f t="shared" si="6"/>
        <v>0.2179144216995639</v>
      </c>
    </row>
    <row r="30" spans="1:10" ht="14.7" thickBot="1">
      <c r="A30" s="12"/>
      <c r="B30" s="13"/>
      <c r="C30" s="13" t="s">
        <v>6</v>
      </c>
      <c r="D30" s="13" t="s">
        <v>7</v>
      </c>
      <c r="E30" s="13" t="s">
        <v>18</v>
      </c>
      <c r="F30" s="20" t="s">
        <v>11</v>
      </c>
      <c r="G30" s="7"/>
      <c r="H30" s="8"/>
      <c r="I30" s="8"/>
      <c r="J30" s="9"/>
    </row>
    <row r="50" spans="1:11" ht="14.7" thickBot="1"/>
    <row r="51" spans="1:11">
      <c r="A51" s="2" t="s">
        <v>30</v>
      </c>
      <c r="B51" s="3">
        <v>310</v>
      </c>
      <c r="C51" s="3">
        <v>340</v>
      </c>
      <c r="D51" s="3">
        <v>370</v>
      </c>
      <c r="E51" s="3">
        <v>400</v>
      </c>
      <c r="F51" s="3">
        <v>430</v>
      </c>
      <c r="G51" s="3">
        <v>460</v>
      </c>
      <c r="H51" s="3">
        <v>490</v>
      </c>
      <c r="I51" s="3">
        <v>520</v>
      </c>
      <c r="J51" s="3">
        <v>550</v>
      </c>
      <c r="K51" s="4">
        <v>580</v>
      </c>
    </row>
    <row r="52" spans="1:11">
      <c r="A52" s="5" t="s">
        <v>33</v>
      </c>
      <c r="B52" s="1">
        <f>B51/60*2*PI()</f>
        <v>32.463124087094528</v>
      </c>
      <c r="C52" s="1">
        <f t="shared" ref="C52:K52" si="7">C51/60*2*PI()</f>
        <v>35.604716740684324</v>
      </c>
      <c r="D52" s="1">
        <f t="shared" si="7"/>
        <v>38.746309394274114</v>
      </c>
      <c r="E52" s="1">
        <f t="shared" si="7"/>
        <v>41.887902047863911</v>
      </c>
      <c r="F52" s="1">
        <f t="shared" si="7"/>
        <v>45.0294947014537</v>
      </c>
      <c r="G52" s="1">
        <f t="shared" si="7"/>
        <v>48.171087355043497</v>
      </c>
      <c r="H52" s="1">
        <f t="shared" si="7"/>
        <v>51.312680008633286</v>
      </c>
      <c r="I52" s="1">
        <f t="shared" si="7"/>
        <v>54.454272662223076</v>
      </c>
      <c r="J52" s="1">
        <f t="shared" si="7"/>
        <v>57.595865315812873</v>
      </c>
      <c r="K52" s="6">
        <f t="shared" si="7"/>
        <v>60.737457969402662</v>
      </c>
    </row>
    <row r="53" spans="1:11">
      <c r="A53" s="5" t="s">
        <v>31</v>
      </c>
      <c r="B53" s="1">
        <f>15.23*2</f>
        <v>30.46</v>
      </c>
      <c r="C53" s="1">
        <f>13.29*2</f>
        <v>26.58</v>
      </c>
      <c r="D53" s="1">
        <f>12.96*2</f>
        <v>25.92</v>
      </c>
      <c r="E53" s="1">
        <f>11.67*2</f>
        <v>23.34</v>
      </c>
      <c r="F53" s="1">
        <f>10.67*2</f>
        <v>21.34</v>
      </c>
      <c r="G53" s="1">
        <f>10.29*2</f>
        <v>20.58</v>
      </c>
      <c r="H53" s="1">
        <f>9.61*2</f>
        <v>19.22</v>
      </c>
      <c r="I53" s="1">
        <f>9.02*2</f>
        <v>18.04</v>
      </c>
      <c r="J53" s="1">
        <f>8.62*2</f>
        <v>17.239999999999998</v>
      </c>
      <c r="K53" s="6">
        <f>8.12*2</f>
        <v>16.239999999999998</v>
      </c>
    </row>
    <row r="54" spans="1:11" ht="14.7" thickBot="1">
      <c r="A54" s="7" t="s">
        <v>32</v>
      </c>
      <c r="B54" s="8">
        <f>20*PI()/B53</f>
        <v>2.0627660233682161</v>
      </c>
      <c r="C54" s="8">
        <f t="shared" ref="C54:K54" si="8">20*PI()/C53</f>
        <v>2.3638770907372408</v>
      </c>
      <c r="D54" s="8">
        <f t="shared" si="8"/>
        <v>2.4240684055476795</v>
      </c>
      <c r="E54" s="8">
        <f t="shared" si="8"/>
        <v>2.6920245532046212</v>
      </c>
      <c r="F54" s="8">
        <f t="shared" si="8"/>
        <v>2.9443230117992436</v>
      </c>
      <c r="G54" s="8">
        <f t="shared" si="8"/>
        <v>3.0530540851212762</v>
      </c>
      <c r="H54" s="8">
        <f t="shared" si="8"/>
        <v>3.2690870484805341</v>
      </c>
      <c r="I54" s="8">
        <f t="shared" si="8"/>
        <v>3.4829186846893494</v>
      </c>
      <c r="J54" s="8">
        <f t="shared" si="8"/>
        <v>3.6445390412874632</v>
      </c>
      <c r="K54" s="9">
        <f t="shared" si="8"/>
        <v>3.8689564699381691</v>
      </c>
    </row>
    <row r="55" spans="1:11" ht="14.7" thickBot="1"/>
    <row r="56" spans="1:11">
      <c r="A56" s="42" t="s">
        <v>34</v>
      </c>
      <c r="B56" s="3">
        <v>310</v>
      </c>
      <c r="C56" s="3">
        <v>340</v>
      </c>
      <c r="D56" s="3">
        <v>370</v>
      </c>
      <c r="E56" s="3">
        <v>400</v>
      </c>
      <c r="F56" s="3">
        <v>430</v>
      </c>
      <c r="G56" s="3">
        <v>460</v>
      </c>
      <c r="H56" s="3">
        <v>490</v>
      </c>
      <c r="I56" s="3">
        <v>520</v>
      </c>
      <c r="J56" s="3">
        <v>550</v>
      </c>
      <c r="K56" s="4">
        <v>580</v>
      </c>
    </row>
    <row r="57" spans="1:11">
      <c r="A57" s="5" t="s">
        <v>33</v>
      </c>
      <c r="B57" s="1">
        <f>B56/60 * 2*PI()</f>
        <v>32.463124087094528</v>
      </c>
      <c r="C57" s="1">
        <f t="shared" ref="C57:K57" si="9">C56/60 * 2*PI()</f>
        <v>35.604716740684324</v>
      </c>
      <c r="D57" s="1">
        <f t="shared" si="9"/>
        <v>38.746309394274114</v>
      </c>
      <c r="E57" s="1">
        <f t="shared" si="9"/>
        <v>41.887902047863911</v>
      </c>
      <c r="F57" s="1">
        <f t="shared" si="9"/>
        <v>45.0294947014537</v>
      </c>
      <c r="G57" s="1">
        <f t="shared" si="9"/>
        <v>48.171087355043497</v>
      </c>
      <c r="H57" s="1">
        <f t="shared" si="9"/>
        <v>51.312680008633286</v>
      </c>
      <c r="I57" s="1">
        <f t="shared" si="9"/>
        <v>54.454272662223076</v>
      </c>
      <c r="J57" s="1">
        <f t="shared" si="9"/>
        <v>57.595865315812873</v>
      </c>
      <c r="K57" s="6">
        <f t="shared" si="9"/>
        <v>60.737457969402662</v>
      </c>
    </row>
    <row r="58" spans="1:11">
      <c r="A58" s="5" t="s">
        <v>35</v>
      </c>
      <c r="B58" s="1">
        <f>580/2</f>
        <v>290</v>
      </c>
      <c r="C58" s="1">
        <f>640/2</f>
        <v>320</v>
      </c>
      <c r="D58" s="1">
        <f>690/2</f>
        <v>345</v>
      </c>
      <c r="E58" s="1">
        <f>750/2</f>
        <v>375</v>
      </c>
      <c r="F58" s="1">
        <f>800/2</f>
        <v>400</v>
      </c>
      <c r="G58" s="1">
        <f>870/2</f>
        <v>435</v>
      </c>
      <c r="H58" s="1">
        <f>920/2</f>
        <v>460</v>
      </c>
      <c r="I58" s="1">
        <f>980/2</f>
        <v>490</v>
      </c>
      <c r="J58" s="1">
        <f>1020/2</f>
        <v>510</v>
      </c>
      <c r="K58" s="6">
        <f>1080/2</f>
        <v>540</v>
      </c>
    </row>
    <row r="59" spans="1:11" ht="14.7" thickBot="1">
      <c r="A59" s="7" t="s">
        <v>36</v>
      </c>
      <c r="B59" s="8">
        <f>B58/60 * 2 *PI()</f>
        <v>30.368728984701331</v>
      </c>
      <c r="C59" s="8">
        <f t="shared" ref="C59:K59" si="10">C58/60 * 2 *PI()</f>
        <v>33.510321638291124</v>
      </c>
      <c r="D59" s="8">
        <f t="shared" si="10"/>
        <v>36.128315516282619</v>
      </c>
      <c r="E59" s="8">
        <f t="shared" si="10"/>
        <v>39.269908169872416</v>
      </c>
      <c r="F59" s="8">
        <f t="shared" si="10"/>
        <v>41.887902047863911</v>
      </c>
      <c r="G59" s="8">
        <f t="shared" si="10"/>
        <v>45.553093477052002</v>
      </c>
      <c r="H59" s="8">
        <f t="shared" si="10"/>
        <v>48.171087355043497</v>
      </c>
      <c r="I59" s="8">
        <f t="shared" si="10"/>
        <v>51.312680008633286</v>
      </c>
      <c r="J59" s="8">
        <f t="shared" si="10"/>
        <v>53.407075111026487</v>
      </c>
      <c r="K59" s="9">
        <f t="shared" si="10"/>
        <v>56.548667764616276</v>
      </c>
    </row>
    <row r="62" spans="1:11">
      <c r="I62">
        <f t="array" ref="I62:I63">LINEST(B54:K54,B52:K52,TRUE,TRUE)</f>
        <v>6.2416744385751302E-2</v>
      </c>
    </row>
    <row r="63" spans="1:11">
      <c r="I63">
        <v>1.5529898772505912E-3</v>
      </c>
    </row>
    <row r="65" spans="9:9">
      <c r="I65">
        <f t="array" ref="I65:I66">LINEST(B59:K59,B57:K57,TRUE,TRUE)</f>
        <v>0.9282828282828286</v>
      </c>
    </row>
    <row r="66" spans="9:9">
      <c r="I66">
        <v>1.0902541992385282E-2</v>
      </c>
    </row>
    <row r="95" spans="1:6" ht="14.7" thickBot="1"/>
    <row r="96" spans="1:6">
      <c r="A96" s="2" t="s">
        <v>24</v>
      </c>
      <c r="B96" s="3" t="s">
        <v>25</v>
      </c>
      <c r="C96" s="3" t="s">
        <v>26</v>
      </c>
      <c r="D96" s="3" t="s">
        <v>28</v>
      </c>
      <c r="E96" s="3" t="s">
        <v>27</v>
      </c>
      <c r="F96" s="35" t="s">
        <v>29</v>
      </c>
    </row>
    <row r="97" spans="1:6">
      <c r="A97" s="36">
        <v>9.8499999999999994E-3</v>
      </c>
      <c r="B97" s="1">
        <v>0.15</v>
      </c>
      <c r="C97" s="1">
        <v>1.518</v>
      </c>
      <c r="D97" s="1">
        <v>0.01</v>
      </c>
      <c r="E97" s="34">
        <f>A97*9.80984*B97*C97/2/PI()</f>
        <v>3.5017191948260862E-3</v>
      </c>
      <c r="F97" s="37">
        <f>SQRT((0.00002/9.80984)^2+(D97/C97)^2)*E97</f>
        <v>2.3067979990285168E-5</v>
      </c>
    </row>
    <row r="98" spans="1:6">
      <c r="A98" s="5">
        <v>9.8499999999999994E-3</v>
      </c>
      <c r="B98" s="1">
        <v>0.2</v>
      </c>
      <c r="C98" s="1">
        <v>1.1937</v>
      </c>
      <c r="D98" s="1">
        <v>1.2999999999999999E-3</v>
      </c>
      <c r="E98" s="1">
        <f t="shared" ref="E98:E100" si="11">A98*9.80984*B98*C98/2/PI()</f>
        <v>3.6714995194237149E-3</v>
      </c>
      <c r="F98" s="39">
        <f t="shared" ref="F98:F100" si="12">SQRT((0.00002/9.80984)^2+(D98/C98)^2)*E98</f>
        <v>3.9984566799941948E-6</v>
      </c>
    </row>
    <row r="99" spans="1:6">
      <c r="A99" s="5">
        <v>1.9699999999999999E-2</v>
      </c>
      <c r="B99" s="1">
        <v>0.15</v>
      </c>
      <c r="C99" s="1">
        <v>0.82599999999999996</v>
      </c>
      <c r="D99" s="1">
        <v>2.3E-2</v>
      </c>
      <c r="E99" s="33">
        <f t="shared" si="11"/>
        <v>3.8108301118924205E-3</v>
      </c>
      <c r="F99" s="40">
        <f t="shared" si="12"/>
        <v>1.0611270315794945E-4</v>
      </c>
    </row>
    <row r="100" spans="1:6" ht="14.7" thickBot="1">
      <c r="A100" s="7">
        <v>1.9699999999999999E-2</v>
      </c>
      <c r="B100" s="8">
        <v>0.2</v>
      </c>
      <c r="C100" s="8">
        <v>0.64690000000000003</v>
      </c>
      <c r="D100" s="8">
        <v>1.6999999999999999E-3</v>
      </c>
      <c r="E100" s="41">
        <f t="shared" si="11"/>
        <v>3.9793801442828203E-3</v>
      </c>
      <c r="F100" s="38">
        <f t="shared" si="12"/>
        <v>1.0457486908542314E-5</v>
      </c>
    </row>
  </sheetData>
  <mergeCells count="4">
    <mergeCell ref="A14:B17"/>
    <mergeCell ref="A18:B21"/>
    <mergeCell ref="A22:B25"/>
    <mergeCell ref="A26:B29"/>
  </mergeCells>
  <phoneticPr fontId="2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Yajie</cp:lastModifiedBy>
  <cp:lastPrinted>2018-01-22T20:26:58Z</cp:lastPrinted>
  <dcterms:created xsi:type="dcterms:W3CDTF">2017-12-07T21:38:29Z</dcterms:created>
  <dcterms:modified xsi:type="dcterms:W3CDTF">2018-01-22T20:59:39Z</dcterms:modified>
</cp:coreProperties>
</file>